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0" windowHeight="8195" tabRatio="456" activeTab="0"/>
  </bookViews>
  <sheets>
    <sheet name="Sheet2" sheetId="1" r:id="rId1"/>
  </sheets>
  <definedNames>
    <definedName name="Excel_BuiltIn_Print_Area1">'Sheet2'!$A$2:$C$350</definedName>
    <definedName name="Excel_BuiltIn_Print_Area_1">'Sheet2'!$A$2:$G$352</definedName>
    <definedName name="Excel_BuiltIn_Print_Area_1_1">'Sheet2'!$A$2:$C$352</definedName>
    <definedName name="Excel_BuiltIn_Print_Area_1_1_1">'Sheet2'!$A$2:$G$316</definedName>
    <definedName name="Excel_BuiltIn_Print_Area_1_1_1_1">'Sheet2'!$A$2:$C$348</definedName>
    <definedName name="Excel_BuiltIn_Print_Area_1_1_1_1_1">'Sheet2'!$A$3:$C$348</definedName>
    <definedName name="Excel_BuiltIn_Print_Area_1_1_1_1_1_1">'Sheet2'!$A$3:$C$348</definedName>
    <definedName name="Excel_BuiltIn_Print_Area_1_1_1_1_1_11">#REF!</definedName>
    <definedName name="Excel_BuiltIn_Print_Area_1_1_1_1_1_1_1">#REF!</definedName>
    <definedName name="Excel_BuiltIn_Print_Area_2_1">'Sheet2'!$A$3:$C$340</definedName>
    <definedName name="Excel_BuiltIn_Print_Area_2_1_1">'Sheet2'!$A$3:$C$340</definedName>
    <definedName name="Excel_BuiltIn_Print_Titles">'Sheet2'!#REF!</definedName>
    <definedName name="_xlnm.Print_Area" localSheetId="0">'Sheet2'!$A$1:$C$352</definedName>
  </definedNames>
  <calcPr fullCalcOnLoad="1"/>
</workbook>
</file>

<file path=xl/sharedStrings.xml><?xml version="1.0" encoding="utf-8"?>
<sst xmlns="http://schemas.openxmlformats.org/spreadsheetml/2006/main" count="326" uniqueCount="95">
  <si>
    <t>MUNICIPIUL CRAIOVA</t>
  </si>
  <si>
    <t>PRIMARIA MUNICIPIULUI CRAIOVA</t>
  </si>
  <si>
    <t>DIRECTIA ELABORARE SI IMPLEMENTARE PROIECTE</t>
  </si>
  <si>
    <t>PROIECTE CU FINANTARE DIN FONDURI EXTERNE NERAMBURSABILE POSTADERARE IN ANUL 2022</t>
  </si>
  <si>
    <t>Mii lei</t>
  </si>
  <si>
    <t>Capitol Bugetar</t>
  </si>
  <si>
    <t>Denumire</t>
  </si>
  <si>
    <t>Total (mii lei)</t>
  </si>
  <si>
    <t>TRIM I</t>
  </si>
  <si>
    <t>TRIM II</t>
  </si>
  <si>
    <t>TRIM III</t>
  </si>
  <si>
    <t>TRIM IV</t>
  </si>
  <si>
    <t>Cap. 65.02 (Invatamant)</t>
  </si>
  <si>
    <t>65.02.03.01</t>
  </si>
  <si>
    <t xml:space="preserve">Cresterea eficientei energetice a cladirilor publice din Municipiul Craiova apartinând sectorului Educație - Gradinița cu program prelungit ”Elena Farago” inclusiv Creșa nr. 8 </t>
  </si>
  <si>
    <t>58.01.01</t>
  </si>
  <si>
    <t>58.01.02</t>
  </si>
  <si>
    <t>58.01.03</t>
  </si>
  <si>
    <t>42.02.69</t>
  </si>
  <si>
    <t>48.02.01.01</t>
  </si>
  <si>
    <t>48.02.01.02</t>
  </si>
  <si>
    <t>Venituri proprii</t>
  </si>
  <si>
    <t>Cresterea eficientei energetice a cladirilor publice din Municipiul Craiova apartinând sectorului Educație - Gradinița cu program prelungit ”Floare Albastră” inclusiv Creșa nr. 3</t>
  </si>
  <si>
    <t xml:space="preserve">Cresterea eficientei energetice a cladirilor publice din Municipiul Craiova aparti-nând sectorului Educație - Gradinița cu program prelungit ”Piticot” inclusiv Creșa nr. 5  </t>
  </si>
  <si>
    <t>Creşterea accesului la educatie prin imbunatatirea infrastructurii unitatilor de inva- tamant din municipiul Craiova – Gradinita cu program prelungit Curcubeul Copilăriei</t>
  </si>
  <si>
    <t xml:space="preserve">Creşterea accesului la educatie prin imbunatatirea infrastructurii unitatilor de in-vatamant din municipiul Craiova – Gradinita cu program prelungit Căsuța cu povești </t>
  </si>
  <si>
    <t xml:space="preserve">Creşterea accesului la educatie prin imbunatatirea infrastructurii unitatilor de invatamant din municipiul Craiova – Gradinita cu program prelungit Ion Creangă  </t>
  </si>
  <si>
    <t xml:space="preserve">Creşterea accesului la educatie prin imbunatatirea infrastructurii unitatilor de invatamant din municipiul Craiova – Gradinita cu program prelungit Phoenix </t>
  </si>
  <si>
    <t>65.02.04.01</t>
  </si>
  <si>
    <t xml:space="preserve">Îmbunătățirea infrastructurii educaționale din Municipiul Craiova prin constructia/ reabilitarea/modernizarea/extinderea/echiparea Scolii Gimnaziale “Mircea Eliade” </t>
  </si>
  <si>
    <t>48.02.01.03</t>
  </si>
  <si>
    <t xml:space="preserve">Îmbunătățirea infrastructurii educaționale din Municipiul Craiova prin constructia/ reabilitarea/modernizarea/extinderea/echiparea Scolii Gimnaziale “Gheorghe Titeica” </t>
  </si>
  <si>
    <t xml:space="preserve"> </t>
  </si>
  <si>
    <t>65.02.50</t>
  </si>
  <si>
    <t>Școala virtuală în municipiul Craiova</t>
  </si>
  <si>
    <t>Masuri pentru limitArea raSpandirii coronavirusului in uniTatile de Invatamant PrEuNiversiTaR din mUnicipiul Craiova – M.A.S.T.I. Pentru Craiova</t>
  </si>
  <si>
    <t>65.02.04.02</t>
  </si>
  <si>
    <t>Creșterea calității infrastructurii educaționale la Colegiul Tehnic de Industrie Alimentară Craiova</t>
  </si>
  <si>
    <t>Total cap. 65.02</t>
  </si>
  <si>
    <t>Cap. 66.02.  (Sănătate)</t>
  </si>
  <si>
    <t>66.02.06.01</t>
  </si>
  <si>
    <t>Cresterea eficientei energetice a cladirilor publice din Municipiul Craiova apartinand sectorului Sanatate, Spitalul Clinic de Boli Infectioase si Pneumoftiziologie Victor Babes Craiova</t>
  </si>
  <si>
    <t>Reabilitare corp C1 – Ambulatoriu Pavilion A, extindere cu lift exterior si amplasare rampa de gunoi (colectare selectiva) la Spitalul Clinic Municipal Filantropia din Municipiul Craiova</t>
  </si>
  <si>
    <t>Total cap. 66.02</t>
  </si>
  <si>
    <t>Cap. 67.02.  (Cultura, recreere si religie)</t>
  </si>
  <si>
    <t>67.02.03.12</t>
  </si>
  <si>
    <t xml:space="preserve">Conservarea, protejarea, promovarea si dezvoltarea patrimoniului national si cultural - Casa Rusănescu (Casa Casatoriilor) </t>
  </si>
  <si>
    <t>Amenajarea de parcuri si gradini in municipiul Craiova - Parcul Nicolae Romanescu</t>
  </si>
  <si>
    <t>67.02.03.30</t>
  </si>
  <si>
    <t>RESTART_4Danube – Boosting cREative induSTries in urbAn Regeneration for a stronger Danube region</t>
  </si>
  <si>
    <t>Total cap. 67.02</t>
  </si>
  <si>
    <t>Cap. 70.02.  (Loc., serv. si dezv. Publica)</t>
  </si>
  <si>
    <t>70.02.50</t>
  </si>
  <si>
    <t>Promovarea incluziunii sociale și combaterea sărăciei în comunitățile defavorizate din municipiul Craiova – faza II – Zona Fantâna Popova</t>
  </si>
  <si>
    <t>70.02.03.30</t>
  </si>
  <si>
    <t>Cresterea Eficientei Energetice in cadrul cladirilor RezidenTiale din Municipiul Craiova - CEERT L4</t>
  </si>
  <si>
    <t xml:space="preserve">Cresterea Eficientei Energetice in cadrul cladirilor RezidenTiale din Municipiul Craiova - CEERT L5 </t>
  </si>
  <si>
    <t>Creșterea eficienței energetice în cadrul clădirilor rezidențiale din Municipiul Craiova - CEERT L4.1</t>
  </si>
  <si>
    <t>Creșterea eficienței energetice în cadrul clădirilor rezidențiale din Municipiul Craiova - CEERT L5.1</t>
  </si>
  <si>
    <t>Total cap. 70.02</t>
  </si>
  <si>
    <t>Cap. 80.02.  (Actiuni generale economice, comerciale si de munca)</t>
  </si>
  <si>
    <t>80.02.01.30</t>
  </si>
  <si>
    <t>A.R.C.A. - Accesibilitatea procedurilor administrative prin Reducerea birocratiei si digitizare pentru Cetatenii BANIEI</t>
  </si>
  <si>
    <t>48.02.02.01</t>
  </si>
  <si>
    <t>48.02.02.02</t>
  </si>
  <si>
    <t>CAMELOT: Cities And Metropolis in Europe Labouring Onward Together (Orașe și metropole in Europa lucrand mai departe impreuna)</t>
  </si>
  <si>
    <t>58.15.01</t>
  </si>
  <si>
    <t>58.15.02</t>
  </si>
  <si>
    <t>58.15.03</t>
  </si>
  <si>
    <t>48.02.15.01</t>
  </si>
  <si>
    <t>48.02.15.02</t>
  </si>
  <si>
    <t>Total cap. 80.02</t>
  </si>
  <si>
    <t>Cap. 84.02 (Transporturi)</t>
  </si>
  <si>
    <t>84.02.03.02</t>
  </si>
  <si>
    <t xml:space="preserve">Proiect Integrat de Modernizare a Sistemului de Transport Public  cu Tramvaiul In Municipiul Craiova - MOTRIC T1: Componenta Modernizarea caii de tramvai (in cale proprie) de pe str. Henry Ford in zona industriala Ford si Extinderea sistemului de management al traficului prin integrarea de noi intersectii sema-forizate cu functio-narea in regim adaptiv si sistem de comunicatii (Etapa 1, Faza 3); Componenta Extinderea sistemului de management al traficului prin integra-rea de noi intersectii semaforizate cu functionarea in regim adaptiv si sistem de comunicatii (Etapa 1, Faza 1 + Etapa 1, Faza 2); Componenta Modernizare depou si Modernizarea statiilor de redresare pentru alimentarea electrica a tramvaielor - Faza 1 - Modernizare statii de redresare si echipamente aferente </t>
  </si>
  <si>
    <t>Executie Statii redresare – 6 luni / 18 luni – 7.000 mii lei / 21.000 mii lei</t>
  </si>
  <si>
    <t>Modernizarea căii de tramvai (în cale proprie) de pe Calea Severinului, în zona industrială Cernele de Sus – Faza 1 si Faza 2</t>
  </si>
  <si>
    <t xml:space="preserve">Modernizare depou si Modernizarea statiilor de redresare pentru alimentarea electrica a tramvaielor - Faza 2 - Modernizare depou tramvaie </t>
  </si>
  <si>
    <t xml:space="preserve">Achiziţie de mijloace de transport public - tramvaie (25m, 17 buc, Craiova) - parteneriat MDRAP </t>
  </si>
  <si>
    <t xml:space="preserve">Proiect Integrat de Modernizare a Sistemului de Transport Public  cu Autobuzele  In Municipiul Craiova - MOTRIC A: Componenta Extinderea sistemului de management al traficului prin integrarea de noi intersectii semaforizate cu functionarea in regim adaptiv si sistem de comunicatii (Etapa 1, Faza 4) si Reorganizarea circulatiei in zona centrala (Etapa 2, Faza 4), Componenta Innoirea parcului de vehicule de trans-port public urban - Achizitia de autobuze noi - Faza 2 + Faza 3 + Faza 4 (16 buc) </t>
  </si>
  <si>
    <t>Innoirea parcului de vehicule de transport public urban - Achizitia de autobuze noi - Faza 1 (30 buc)</t>
  </si>
  <si>
    <t>84.02.03.01</t>
  </si>
  <si>
    <t>Sprijin la nivelul regiunii Sud- Vest Oltenia  pentru pregătirea de proiecte finanțate din  perioada de programare 2021-2027 pe domeniile mobilitate urbană, regenerare urbană, tabere școlare, infrastructura si servicii publice de turism și infrastructură rutieră de interes județean in vederea finantarii documentatiilor tehnico-economice aferente obiectivului de investitii „Amenajarea unui coridor de mobilitate urbană în zona de Nord-Est a municipiului Craiova, tronson Pasaj Gârlești – str. Mălinului˝</t>
  </si>
  <si>
    <t>Total cap. 84.02</t>
  </si>
  <si>
    <t>TOTAL GENERAL</t>
  </si>
  <si>
    <t>42.02.69 – Subvenţii de la bugetul de stat către bugetele locale necesare susţinerii derulării proiectelor finanţate din fonduri externe nerambursabile (FEN) postaderare aferete perioadei de programare 2014-2020****)</t>
  </si>
  <si>
    <t>48.02.01.01 - Sume FEN primite in contul platilor efectuate in anul curent</t>
  </si>
  <si>
    <t>48.02.01.02 - Sume FEN primite in contul platilor efectuate in anii anteriori</t>
  </si>
  <si>
    <t>48.02.02.02 - Sume FEN primite in contul platilor efectuate in anii anteriori</t>
  </si>
  <si>
    <t>48.02.15.01 - Sume FEN primite in contul platilor efectuate in anul curent</t>
  </si>
  <si>
    <t>48.02.01.03 - Sume FEN Prefinantari</t>
  </si>
  <si>
    <t>TOTAL</t>
  </si>
  <si>
    <t>Anexa nr. 69 la Hotărârea Consiliul Local nr. 34/10.02.2022</t>
  </si>
  <si>
    <t>Președinte de ședință,</t>
  </si>
  <si>
    <t>Radu Marinescu</t>
  </si>
</sst>
</file>

<file path=xl/styles.xml><?xml version="1.0" encoding="utf-8"?>
<styleSheet xmlns="http://schemas.openxmlformats.org/spreadsheetml/2006/main">
  <numFmts count="9">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0"/>
  </numFmts>
  <fonts count="47">
    <font>
      <sz val="11"/>
      <color indexed="8"/>
      <name val="Calibri"/>
      <family val="2"/>
    </font>
    <font>
      <sz val="10"/>
      <name val="Arial"/>
      <family val="0"/>
    </font>
    <font>
      <sz val="10"/>
      <name val="Trebuchet MS"/>
      <family val="2"/>
    </font>
    <font>
      <sz val="10"/>
      <color indexed="8"/>
      <name val="Trebuchet MS"/>
      <family val="2"/>
    </font>
    <font>
      <b/>
      <sz val="10"/>
      <name val="Trebuchet MS"/>
      <family val="2"/>
    </font>
    <font>
      <b/>
      <sz val="10"/>
      <color indexed="8"/>
      <name val="Trebuchet MS"/>
      <family val="2"/>
    </font>
    <font>
      <b/>
      <sz val="10"/>
      <name val="Arial"/>
      <family val="2"/>
    </font>
    <font>
      <b/>
      <sz val="10"/>
      <color indexed="9"/>
      <name val="Trebuchet MS"/>
      <family val="2"/>
    </font>
    <font>
      <b/>
      <sz val="10"/>
      <color indexed="8"/>
      <name val="Arial"/>
      <family val="2"/>
    </font>
    <font>
      <sz val="10"/>
      <color indexed="9"/>
      <name val="Trebuchet MS"/>
      <family val="2"/>
    </font>
    <font>
      <sz val="10"/>
      <color indexed="12"/>
      <name val="Trebuchet MS"/>
      <family val="2"/>
    </font>
    <font>
      <sz val="10"/>
      <color indexed="10"/>
      <name val="Trebuchet MS"/>
      <family val="2"/>
    </font>
    <font>
      <b/>
      <i/>
      <sz val="10"/>
      <name val="Trebuchet MS"/>
      <family val="2"/>
    </font>
    <font>
      <b/>
      <i/>
      <sz val="10"/>
      <color indexed="8"/>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0" borderId="2" applyNumberFormat="0" applyFill="0" applyAlignment="0" applyProtection="0"/>
    <xf numFmtId="0" fontId="35" fillId="28" borderId="0" applyNumberFormat="0" applyBorder="0" applyAlignment="0" applyProtection="0"/>
    <xf numFmtId="0" fontId="36" fillId="27" borderId="3" applyNumberFormat="0" applyAlignment="0" applyProtection="0"/>
    <xf numFmtId="0" fontId="37" fillId="29" borderId="1" applyNumberFormat="0" applyAlignment="0" applyProtection="0"/>
    <xf numFmtId="44" fontId="1" fillId="0" borderId="0" applyFill="0" applyBorder="0" applyAlignment="0" applyProtection="0"/>
    <xf numFmtId="42" fontId="1" fillId="0" borderId="0" applyFill="0" applyBorder="0" applyAlignment="0" applyProtection="0"/>
    <xf numFmtId="0" fontId="38" fillId="30" borderId="0" applyNumberFormat="0" applyBorder="0" applyAlignment="0" applyProtection="0"/>
    <xf numFmtId="0" fontId="0" fillId="31" borderId="4" applyNumberFormat="0" applyFont="0" applyAlignment="0" applyProtection="0"/>
    <xf numFmtId="9" fontId="1"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xf numFmtId="43" fontId="1" fillId="0" borderId="0" applyFill="0" applyBorder="0" applyAlignment="0" applyProtection="0"/>
    <xf numFmtId="41" fontId="1" fillId="0" borderId="0" applyFill="0" applyBorder="0" applyAlignment="0" applyProtection="0"/>
  </cellStyleXfs>
  <cellXfs count="13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1" fillId="0" borderId="0" xfId="0" applyFont="1" applyFill="1" applyAlignment="1">
      <alignment/>
    </xf>
    <xf numFmtId="0" fontId="0" fillId="0" borderId="0" xfId="0" applyFill="1" applyAlignment="1">
      <alignment/>
    </xf>
    <xf numFmtId="0" fontId="4" fillId="0" borderId="0" xfId="0" applyFont="1" applyFill="1" applyBorder="1" applyAlignment="1">
      <alignment/>
    </xf>
    <xf numFmtId="0" fontId="4" fillId="0" borderId="0" xfId="0" applyFont="1" applyFill="1" applyBorder="1" applyAlignment="1">
      <alignment horizontal="right" wrapText="1"/>
    </xf>
    <xf numFmtId="164" fontId="2" fillId="0" borderId="0" xfId="0" applyNumberFormat="1" applyFont="1" applyFill="1" applyAlignment="1">
      <alignment horizontal="right"/>
    </xf>
    <xf numFmtId="0" fontId="4" fillId="0" borderId="0" xfId="0" applyFont="1" applyFill="1" applyBorder="1" applyAlignment="1">
      <alignment horizontal="left" wrapText="1"/>
    </xf>
    <xf numFmtId="0" fontId="2" fillId="0" borderId="0" xfId="0" applyFont="1" applyFill="1" applyAlignment="1">
      <alignment vertical="center" wrapText="1"/>
    </xf>
    <xf numFmtId="0" fontId="4" fillId="0" borderId="0" xfId="0" applyFont="1" applyFill="1" applyBorder="1" applyAlignment="1">
      <alignment horizontal="center" wrapText="1"/>
    </xf>
    <xf numFmtId="0" fontId="2" fillId="0" borderId="0" xfId="0" applyFont="1" applyFill="1" applyAlignment="1">
      <alignment wrapText="1"/>
    </xf>
    <xf numFmtId="49" fontId="4" fillId="0" borderId="0" xfId="0" applyNumberFormat="1" applyFont="1" applyFill="1" applyAlignment="1">
      <alignment horizontal="center"/>
    </xf>
    <xf numFmtId="0" fontId="4" fillId="0" borderId="0" xfId="0" applyFont="1" applyFill="1" applyAlignment="1">
      <alignment horizont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4" fillId="0" borderId="10" xfId="0" applyFont="1" applyFill="1" applyBorder="1" applyAlignment="1">
      <alignment vertical="center" wrapText="1"/>
    </xf>
    <xf numFmtId="0" fontId="7" fillId="0" borderId="0" xfId="0" applyFont="1" applyFill="1" applyAlignment="1">
      <alignment/>
    </xf>
    <xf numFmtId="3" fontId="4" fillId="0" borderId="10" xfId="0" applyNumberFormat="1" applyFont="1" applyFill="1" applyBorder="1" applyAlignment="1">
      <alignment vertical="center" wrapText="1"/>
    </xf>
    <xf numFmtId="3" fontId="4"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xf>
    <xf numFmtId="0" fontId="2" fillId="0" borderId="10" xfId="0" applyFont="1" applyFill="1" applyBorder="1" applyAlignment="1">
      <alignment horizontal="right" vertical="center" wrapText="1"/>
    </xf>
    <xf numFmtId="3" fontId="2" fillId="0" borderId="10" xfId="0" applyNumberFormat="1" applyFont="1" applyFill="1" applyBorder="1" applyAlignment="1">
      <alignment vertical="center" wrapText="1"/>
    </xf>
    <xf numFmtId="3" fontId="2" fillId="0" borderId="10" xfId="0" applyNumberFormat="1" applyFont="1" applyFill="1" applyBorder="1" applyAlignment="1">
      <alignment horizontal="right" vertical="center" wrapText="1"/>
    </xf>
    <xf numFmtId="3" fontId="2" fillId="0" borderId="10" xfId="0" applyNumberFormat="1" applyFont="1" applyFill="1" applyBorder="1" applyAlignment="1">
      <alignment horizontal="right" vertical="center"/>
    </xf>
    <xf numFmtId="49" fontId="2"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xf>
    <xf numFmtId="0" fontId="4" fillId="0" borderId="0" xfId="0" applyFont="1" applyFill="1" applyAlignment="1">
      <alignment horizontal="right"/>
    </xf>
    <xf numFmtId="49" fontId="3" fillId="0" borderId="10" xfId="0" applyNumberFormat="1" applyFont="1" applyFill="1" applyBorder="1" applyAlignment="1">
      <alignment horizontal="right" vertical="center" wrapText="1"/>
    </xf>
    <xf numFmtId="0" fontId="5"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0" fontId="5" fillId="0" borderId="0" xfId="0" applyFont="1" applyFill="1" applyAlignment="1">
      <alignment horizontal="right"/>
    </xf>
    <xf numFmtId="0" fontId="8" fillId="0" borderId="0" xfId="0" applyFont="1" applyFill="1" applyAlignment="1">
      <alignment/>
    </xf>
    <xf numFmtId="3" fontId="2" fillId="33" borderId="10" xfId="0" applyNumberFormat="1" applyFont="1" applyFill="1" applyBorder="1" applyAlignment="1">
      <alignment vertical="center" wrapText="1"/>
    </xf>
    <xf numFmtId="0" fontId="2" fillId="0" borderId="10" xfId="0" applyFont="1" applyFill="1" applyBorder="1" applyAlignment="1">
      <alignment horizontal="left" vertical="center" wrapText="1"/>
    </xf>
    <xf numFmtId="3" fontId="3" fillId="0" borderId="10" xfId="0" applyNumberFormat="1" applyFont="1" applyFill="1" applyBorder="1" applyAlignment="1">
      <alignment horizontal="right" vertical="center" wrapText="1"/>
    </xf>
    <xf numFmtId="3" fontId="5" fillId="0" borderId="10" xfId="0" applyNumberFormat="1" applyFont="1" applyFill="1" applyBorder="1" applyAlignment="1">
      <alignment horizontal="right" vertical="center" wrapText="1"/>
    </xf>
    <xf numFmtId="3" fontId="5" fillId="0" borderId="10" xfId="0"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0" fontId="4" fillId="0" borderId="0" xfId="0" applyFont="1" applyFill="1" applyAlignment="1">
      <alignment horizontal="left" vertical="center" wrapText="1"/>
    </xf>
    <xf numFmtId="0" fontId="4" fillId="0" borderId="10" xfId="0" applyFont="1" applyFill="1" applyBorder="1" applyAlignment="1">
      <alignment horizontal="left" vertical="center" wrapText="1"/>
    </xf>
    <xf numFmtId="3" fontId="3" fillId="0" borderId="10" xfId="0" applyNumberFormat="1" applyFont="1" applyFill="1" applyBorder="1" applyAlignment="1">
      <alignment/>
    </xf>
    <xf numFmtId="3" fontId="3" fillId="33" borderId="10" xfId="0" applyNumberFormat="1" applyFont="1" applyFill="1" applyBorder="1" applyAlignment="1">
      <alignment horizontal="right" vertical="center" wrapText="1"/>
    </xf>
    <xf numFmtId="3" fontId="0" fillId="0" borderId="10" xfId="0" applyNumberFormat="1" applyFill="1" applyBorder="1" applyAlignment="1">
      <alignment vertical="center"/>
    </xf>
    <xf numFmtId="3" fontId="2" fillId="33" borderId="10" xfId="0" applyNumberFormat="1" applyFont="1" applyFill="1" applyBorder="1" applyAlignment="1">
      <alignment horizontal="right" vertical="center" wrapText="1"/>
    </xf>
    <xf numFmtId="0" fontId="4" fillId="0" borderId="10" xfId="0" applyFont="1" applyFill="1" applyBorder="1" applyAlignment="1">
      <alignment vertical="center" wrapText="1"/>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xf>
    <xf numFmtId="3" fontId="2" fillId="0" borderId="10" xfId="0" applyNumberFormat="1" applyFont="1" applyFill="1" applyBorder="1" applyAlignment="1">
      <alignment vertical="center" wrapText="1"/>
    </xf>
    <xf numFmtId="0" fontId="3" fillId="0" borderId="0" xfId="0" applyFont="1" applyFill="1" applyAlignment="1">
      <alignment vertical="center"/>
    </xf>
    <xf numFmtId="0" fontId="9" fillId="0" borderId="0" xfId="0" applyFont="1" applyFill="1" applyAlignment="1">
      <alignment vertical="center"/>
    </xf>
    <xf numFmtId="3" fontId="5" fillId="0" borderId="10" xfId="0" applyNumberFormat="1" applyFont="1" applyFill="1" applyBorder="1" applyAlignment="1">
      <alignment vertical="center" wrapText="1"/>
    </xf>
    <xf numFmtId="0" fontId="4" fillId="0" borderId="0" xfId="0" applyFont="1" applyFill="1" applyAlignment="1">
      <alignment vertical="center"/>
    </xf>
    <xf numFmtId="0" fontId="5" fillId="0" borderId="0" xfId="0" applyFont="1" applyFill="1" applyAlignment="1">
      <alignment vertical="center"/>
    </xf>
    <xf numFmtId="0" fontId="7"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xf>
    <xf numFmtId="3" fontId="3" fillId="0" borderId="10" xfId="0" applyNumberFormat="1" applyFont="1" applyFill="1" applyBorder="1" applyAlignment="1">
      <alignment vertical="center" wrapText="1"/>
    </xf>
    <xf numFmtId="0" fontId="3" fillId="0" borderId="10" xfId="0" applyFont="1" applyFill="1" applyBorder="1" applyAlignment="1">
      <alignment horizontal="left" vertical="center" wrapText="1"/>
    </xf>
    <xf numFmtId="3" fontId="3" fillId="33" borderId="10" xfId="0"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Fill="1" applyAlignment="1">
      <alignment/>
    </xf>
    <xf numFmtId="3" fontId="2" fillId="0" borderId="0" xfId="0" applyNumberFormat="1" applyFont="1" applyFill="1" applyAlignment="1">
      <alignment vertical="center"/>
    </xf>
    <xf numFmtId="3" fontId="2" fillId="0" borderId="0" xfId="0" applyNumberFormat="1" applyFont="1" applyFill="1" applyAlignment="1">
      <alignment vertical="center"/>
    </xf>
    <xf numFmtId="3" fontId="3" fillId="0" borderId="0" xfId="0" applyNumberFormat="1" applyFont="1" applyFill="1" applyAlignment="1">
      <alignment vertical="center"/>
    </xf>
    <xf numFmtId="3" fontId="9" fillId="0" borderId="0" xfId="0" applyNumberFormat="1" applyFont="1" applyFill="1" applyAlignment="1">
      <alignment vertical="center"/>
    </xf>
    <xf numFmtId="3" fontId="4" fillId="0" borderId="10" xfId="0" applyNumberFormat="1" applyFont="1" applyFill="1" applyBorder="1" applyAlignment="1">
      <alignment vertical="center" wrapText="1"/>
    </xf>
    <xf numFmtId="3" fontId="4" fillId="0" borderId="0" xfId="0" applyNumberFormat="1" applyFont="1" applyFill="1" applyAlignment="1">
      <alignment vertical="center"/>
    </xf>
    <xf numFmtId="3" fontId="5" fillId="0" borderId="0" xfId="0" applyNumberFormat="1" applyFont="1" applyFill="1" applyAlignment="1">
      <alignment vertical="center"/>
    </xf>
    <xf numFmtId="3" fontId="7" fillId="0" borderId="0" xfId="0" applyNumberFormat="1" applyFont="1" applyFill="1" applyAlignment="1">
      <alignment vertical="center"/>
    </xf>
    <xf numFmtId="3" fontId="4" fillId="0" borderId="0" xfId="0" applyNumberFormat="1" applyFont="1" applyFill="1" applyAlignment="1">
      <alignment vertical="center"/>
    </xf>
    <xf numFmtId="3" fontId="3" fillId="0" borderId="0" xfId="0" applyNumberFormat="1" applyFont="1" applyFill="1" applyAlignment="1">
      <alignment vertical="center"/>
    </xf>
    <xf numFmtId="49" fontId="5"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3" fontId="5" fillId="0" borderId="10" xfId="0" applyNumberFormat="1" applyFont="1" applyFill="1" applyBorder="1" applyAlignment="1">
      <alignment vertical="center" wrapText="1"/>
    </xf>
    <xf numFmtId="0" fontId="4" fillId="0" borderId="10" xfId="0" applyFont="1" applyFill="1" applyBorder="1" applyAlignment="1">
      <alignment horizontal="left" vertical="center" wrapText="1"/>
    </xf>
    <xf numFmtId="3" fontId="2" fillId="33" borderId="10" xfId="0" applyNumberFormat="1" applyFont="1" applyFill="1" applyBorder="1" applyAlignment="1">
      <alignment vertical="center" wrapText="1"/>
    </xf>
    <xf numFmtId="3" fontId="2"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3" fontId="2" fillId="0" borderId="10" xfId="0" applyNumberFormat="1" applyFont="1" applyFill="1" applyBorder="1" applyAlignment="1">
      <alignment vertical="center"/>
    </xf>
    <xf numFmtId="0" fontId="2" fillId="0" borderId="10" xfId="0" applyFont="1" applyFill="1" applyBorder="1" applyAlignment="1">
      <alignment vertical="center"/>
    </xf>
    <xf numFmtId="0" fontId="5" fillId="0" borderId="0" xfId="0" applyFont="1" applyFill="1" applyAlignment="1">
      <alignment horizontal="center" vertical="center"/>
    </xf>
    <xf numFmtId="3" fontId="2" fillId="0" borderId="10" xfId="0" applyNumberFormat="1" applyFont="1" applyFill="1" applyBorder="1" applyAlignment="1">
      <alignment vertical="center"/>
    </xf>
    <xf numFmtId="3" fontId="10" fillId="0" borderId="10" xfId="0" applyNumberFormat="1" applyFont="1" applyFill="1" applyBorder="1" applyAlignment="1">
      <alignment vertical="center" wrapText="1"/>
    </xf>
    <xf numFmtId="0" fontId="0" fillId="0" borderId="10" xfId="0" applyFill="1" applyBorder="1" applyAlignment="1">
      <alignment/>
    </xf>
    <xf numFmtId="0" fontId="11" fillId="0" borderId="0" xfId="0" applyFont="1" applyFill="1" applyAlignment="1">
      <alignment vertical="center"/>
    </xf>
    <xf numFmtId="0" fontId="3" fillId="0" borderId="0" xfId="0" applyFont="1" applyFill="1" applyAlignment="1">
      <alignment horizontal="right" vertical="center"/>
    </xf>
    <xf numFmtId="0" fontId="2" fillId="0" borderId="10" xfId="0" applyFont="1" applyFill="1" applyBorder="1" applyAlignment="1">
      <alignment vertical="center" wrapText="1"/>
    </xf>
    <xf numFmtId="3" fontId="4" fillId="0" borderId="0" xfId="0" applyNumberFormat="1" applyFont="1" applyFill="1" applyBorder="1" applyAlignment="1">
      <alignment/>
    </xf>
    <xf numFmtId="0" fontId="2" fillId="0" borderId="10" xfId="0" applyFont="1" applyFill="1" applyBorder="1" applyAlignment="1">
      <alignment vertical="center" wrapText="1"/>
    </xf>
    <xf numFmtId="0" fontId="4" fillId="0" borderId="10" xfId="0" applyFont="1" applyFill="1" applyBorder="1" applyAlignment="1">
      <alignment horizontal="center" vertical="center"/>
    </xf>
    <xf numFmtId="3" fontId="4" fillId="0" borderId="10" xfId="0" applyNumberFormat="1" applyFont="1" applyFill="1" applyBorder="1" applyAlignment="1">
      <alignment vertical="center"/>
    </xf>
    <xf numFmtId="3" fontId="12" fillId="0" borderId="10" xfId="0" applyNumberFormat="1" applyFont="1" applyFill="1" applyBorder="1" applyAlignment="1">
      <alignment vertical="center"/>
    </xf>
    <xf numFmtId="3" fontId="3" fillId="0" borderId="0" xfId="0" applyNumberFormat="1" applyFont="1" applyFill="1" applyAlignment="1">
      <alignment/>
    </xf>
    <xf numFmtId="0" fontId="2" fillId="0" borderId="10" xfId="0" applyFont="1" applyFill="1" applyBorder="1" applyAlignment="1">
      <alignment/>
    </xf>
    <xf numFmtId="49" fontId="12" fillId="0" borderId="10" xfId="0" applyNumberFormat="1" applyFont="1" applyFill="1" applyBorder="1" applyAlignment="1">
      <alignment horizontal="right" vertical="center" wrapText="1"/>
    </xf>
    <xf numFmtId="3" fontId="13" fillId="0" borderId="10" xfId="0" applyNumberFormat="1" applyFont="1" applyFill="1" applyBorder="1" applyAlignment="1">
      <alignment vertical="center"/>
    </xf>
    <xf numFmtId="3" fontId="2" fillId="0" borderId="0" xfId="0" applyNumberFormat="1" applyFont="1" applyFill="1" applyAlignment="1">
      <alignment vertical="center" wrapText="1"/>
    </xf>
    <xf numFmtId="3" fontId="5" fillId="0" borderId="0" xfId="0" applyNumberFormat="1" applyFont="1" applyFill="1" applyAlignment="1">
      <alignment vertical="center"/>
    </xf>
    <xf numFmtId="49" fontId="12" fillId="0" borderId="10" xfId="0" applyNumberFormat="1" applyFont="1" applyFill="1" applyBorder="1" applyAlignment="1">
      <alignment horizontal="right" vertical="center"/>
    </xf>
    <xf numFmtId="3" fontId="13" fillId="0" borderId="0" xfId="0" applyNumberFormat="1" applyFont="1" applyFill="1" applyBorder="1" applyAlignment="1">
      <alignment vertical="center"/>
    </xf>
    <xf numFmtId="0" fontId="2" fillId="0" borderId="10" xfId="0" applyFont="1" applyFill="1" applyBorder="1" applyAlignment="1">
      <alignment/>
    </xf>
    <xf numFmtId="0" fontId="4" fillId="0" borderId="10" xfId="0" applyFont="1" applyFill="1" applyBorder="1" applyAlignment="1">
      <alignment horizontal="center"/>
    </xf>
    <xf numFmtId="3" fontId="13" fillId="0" borderId="10" xfId="0" applyNumberFormat="1" applyFont="1" applyFill="1" applyBorder="1" applyAlignment="1">
      <alignment horizontal="right"/>
    </xf>
    <xf numFmtId="0" fontId="9" fillId="0" borderId="0" xfId="0" applyFont="1" applyFill="1" applyAlignment="1">
      <alignment/>
    </xf>
    <xf numFmtId="0" fontId="2" fillId="0" borderId="0" xfId="0" applyFont="1" applyFill="1" applyBorder="1" applyAlignment="1">
      <alignment/>
    </xf>
    <xf numFmtId="0" fontId="4" fillId="0" borderId="0" xfId="0" applyFont="1" applyFill="1" applyBorder="1" applyAlignment="1">
      <alignment horizontal="center"/>
    </xf>
    <xf numFmtId="3" fontId="13" fillId="0" borderId="0" xfId="0" applyNumberFormat="1" applyFont="1" applyFill="1" applyBorder="1" applyAlignment="1">
      <alignment horizontal="right"/>
    </xf>
    <xf numFmtId="0" fontId="6" fillId="0" borderId="0" xfId="0" applyFont="1" applyFill="1" applyBorder="1" applyAlignment="1">
      <alignment horizontal="center"/>
    </xf>
    <xf numFmtId="0" fontId="12" fillId="0" borderId="0" xfId="0" applyFont="1" applyFill="1" applyBorder="1" applyAlignment="1">
      <alignment horizontal="center" vertical="center"/>
    </xf>
    <xf numFmtId="0" fontId="4" fillId="0" borderId="0" xfId="0" applyFont="1" applyFill="1" applyBorder="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10" xfId="0" applyFont="1" applyFill="1" applyBorder="1" applyAlignment="1">
      <alignment vertical="center" wrapText="1"/>
    </xf>
    <xf numFmtId="0" fontId="2" fillId="0" borderId="10" xfId="0" applyFont="1" applyFill="1" applyBorder="1" applyAlignment="1">
      <alignment horizontal="left" vertical="top" wrapText="1"/>
    </xf>
    <xf numFmtId="0" fontId="2" fillId="0" borderId="10" xfId="0" applyFont="1" applyFill="1" applyBorder="1" applyAlignment="1">
      <alignment horizontal="left" vertical="center" wrapText="1"/>
    </xf>
    <xf numFmtId="0" fontId="2" fillId="0" borderId="0" xfId="0" applyFont="1" applyFill="1" applyBorder="1" applyAlignment="1">
      <alignment vertical="center"/>
    </xf>
    <xf numFmtId="0" fontId="2" fillId="0" borderId="0" xfId="0" applyFont="1" applyFill="1" applyBorder="1" applyAlignment="1">
      <alignment vertical="center"/>
    </xf>
    <xf numFmtId="3" fontId="2" fillId="0" borderId="0" xfId="0" applyNumberFormat="1" applyFont="1" applyFill="1" applyBorder="1" applyAlignment="1">
      <alignment vertical="center"/>
    </xf>
    <xf numFmtId="3" fontId="2" fillId="0" borderId="0" xfId="0" applyNumberFormat="1" applyFont="1" applyFill="1" applyBorder="1" applyAlignment="1">
      <alignment vertical="center"/>
    </xf>
    <xf numFmtId="0" fontId="3" fillId="0" borderId="10" xfId="0" applyFont="1" applyFill="1" applyBorder="1" applyAlignment="1">
      <alignment horizontal="left" vertical="top" wrapText="1"/>
    </xf>
    <xf numFmtId="0" fontId="4" fillId="0" borderId="10" xfId="0" applyFont="1" applyFill="1" applyBorder="1" applyAlignment="1">
      <alignment horizontal="right" vertical="center" wrapText="1"/>
    </xf>
    <xf numFmtId="0" fontId="4" fillId="0" borderId="10" xfId="0" applyFont="1" applyFill="1" applyBorder="1" applyAlignment="1">
      <alignment vertical="center" wrapText="1"/>
    </xf>
    <xf numFmtId="49" fontId="4" fillId="0" borderId="10" xfId="0" applyNumberFormat="1" applyFont="1" applyFill="1" applyBorder="1" applyAlignment="1">
      <alignment vertical="center" wrapText="1"/>
    </xf>
    <xf numFmtId="49" fontId="4" fillId="0" borderId="10" xfId="0" applyNumberFormat="1" applyFont="1" applyFill="1" applyBorder="1" applyAlignment="1">
      <alignment horizontal="left" vertical="center" wrapText="1"/>
    </xf>
    <xf numFmtId="0" fontId="4" fillId="0" borderId="0" xfId="0" applyFont="1" applyFill="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52"/>
  <sheetViews>
    <sheetView tabSelected="1" zoomScaleSheetLayoutView="89" zoomScalePageLayoutView="0" workbookViewId="0" topLeftCell="A342">
      <selection activeCell="A352" sqref="A1:C352"/>
    </sheetView>
  </sheetViews>
  <sheetFormatPr defaultColWidth="11.57421875" defaultRowHeight="15"/>
  <cols>
    <col min="1" max="1" width="13.140625" style="1" customWidth="1"/>
    <col min="2" max="2" width="76.7109375" style="1" customWidth="1"/>
    <col min="3" max="3" width="15.8515625" style="1" customWidth="1"/>
    <col min="4" max="7" width="0" style="1" hidden="1" customWidth="1"/>
    <col min="8" max="8" width="9.140625" style="1" customWidth="1"/>
    <col min="9" max="9" width="10.421875" style="1" customWidth="1"/>
    <col min="10" max="10" width="11.28125" style="2" customWidth="1"/>
    <col min="11" max="12" width="9.00390625" style="1" customWidth="1"/>
    <col min="13" max="13" width="13.7109375" style="1" customWidth="1"/>
    <col min="14" max="14" width="10.28125" style="1" customWidth="1"/>
    <col min="15" max="15" width="12.8515625" style="1" customWidth="1"/>
    <col min="16" max="243" width="9.00390625" style="1" customWidth="1"/>
    <col min="244" max="253" width="9.140625" style="3" customWidth="1"/>
    <col min="254" max="16384" width="11.57421875" style="4" customWidth="1"/>
  </cols>
  <sheetData>
    <row r="1" spans="2:3" ht="15">
      <c r="B1" s="134" t="s">
        <v>92</v>
      </c>
      <c r="C1" s="134"/>
    </row>
    <row r="2" spans="1:256" s="1" customFormat="1" ht="19.5" customHeight="1">
      <c r="A2" s="5" t="s">
        <v>0</v>
      </c>
      <c r="B2" s="6"/>
      <c r="C2" s="7"/>
      <c r="IF2" s="3"/>
      <c r="IG2" s="3"/>
      <c r="IH2" s="3"/>
      <c r="II2" s="3"/>
      <c r="IJ2"/>
      <c r="IK2"/>
      <c r="IL2"/>
      <c r="IM2"/>
      <c r="IN2"/>
      <c r="IO2"/>
      <c r="IP2"/>
      <c r="IQ2"/>
      <c r="IR2"/>
      <c r="IS2"/>
      <c r="IT2"/>
      <c r="IU2"/>
      <c r="IV2"/>
    </row>
    <row r="3" spans="1:256" s="1" customFormat="1" ht="18" customHeight="1">
      <c r="A3" s="119" t="s">
        <v>1</v>
      </c>
      <c r="B3" s="119"/>
      <c r="C3" s="7"/>
      <c r="IF3" s="3"/>
      <c r="IG3" s="3"/>
      <c r="IH3" s="3"/>
      <c r="II3" s="3"/>
      <c r="IJ3"/>
      <c r="IK3"/>
      <c r="IL3"/>
      <c r="IM3"/>
      <c r="IN3"/>
      <c r="IO3"/>
      <c r="IP3"/>
      <c r="IQ3"/>
      <c r="IR3"/>
      <c r="IS3"/>
      <c r="IT3"/>
      <c r="IU3"/>
      <c r="IV3"/>
    </row>
    <row r="4" spans="1:256" s="1" customFormat="1" ht="17.25" customHeight="1">
      <c r="A4" s="119" t="s">
        <v>2</v>
      </c>
      <c r="B4" s="119"/>
      <c r="C4" s="119"/>
      <c r="IF4" s="3"/>
      <c r="IG4" s="3"/>
      <c r="IH4" s="3"/>
      <c r="II4" s="3"/>
      <c r="IJ4"/>
      <c r="IK4"/>
      <c r="IL4"/>
      <c r="IM4"/>
      <c r="IN4"/>
      <c r="IO4"/>
      <c r="IP4"/>
      <c r="IQ4"/>
      <c r="IR4"/>
      <c r="IS4"/>
      <c r="IT4"/>
      <c r="IU4"/>
      <c r="IV4"/>
    </row>
    <row r="5" spans="1:256" s="1" customFormat="1" ht="15.75" customHeight="1">
      <c r="A5" s="120"/>
      <c r="B5" s="120"/>
      <c r="C5" s="7"/>
      <c r="IF5" s="3"/>
      <c r="IG5" s="3"/>
      <c r="IH5" s="3"/>
      <c r="II5" s="3"/>
      <c r="IJ5"/>
      <c r="IK5"/>
      <c r="IL5"/>
      <c r="IM5"/>
      <c r="IN5"/>
      <c r="IO5"/>
      <c r="IP5"/>
      <c r="IQ5"/>
      <c r="IR5"/>
      <c r="IS5"/>
      <c r="IT5"/>
      <c r="IU5"/>
      <c r="IV5"/>
    </row>
    <row r="6" spans="1:6" ht="15.75" customHeight="1">
      <c r="A6" s="8"/>
      <c r="B6" s="8"/>
      <c r="C6" s="7"/>
      <c r="D6" s="9"/>
      <c r="E6" s="9"/>
      <c r="F6" s="9"/>
    </row>
    <row r="7" spans="1:7" ht="16.5" customHeight="1">
      <c r="A7" s="121" t="s">
        <v>3</v>
      </c>
      <c r="B7" s="121"/>
      <c r="C7" s="121"/>
      <c r="D7" s="10"/>
      <c r="E7" s="10"/>
      <c r="F7" s="10"/>
      <c r="G7" s="10"/>
    </row>
    <row r="8" spans="1:7" ht="15.75" customHeight="1">
      <c r="A8" s="11"/>
      <c r="B8" s="12"/>
      <c r="C8" s="13"/>
      <c r="D8" s="9"/>
      <c r="E8" s="9"/>
      <c r="F8" s="9"/>
      <c r="G8" s="13" t="s">
        <v>4</v>
      </c>
    </row>
    <row r="9" spans="1:248" s="18" customFormat="1" ht="30.75" customHeight="1">
      <c r="A9" s="14" t="s">
        <v>5</v>
      </c>
      <c r="B9" s="15" t="s">
        <v>6</v>
      </c>
      <c r="C9" s="14" t="s">
        <v>7</v>
      </c>
      <c r="D9" s="16" t="s">
        <v>8</v>
      </c>
      <c r="E9" s="16" t="s">
        <v>9</v>
      </c>
      <c r="F9" s="16" t="s">
        <v>10</v>
      </c>
      <c r="G9" s="17" t="s">
        <v>11</v>
      </c>
      <c r="J9" s="19"/>
      <c r="IJ9" s="20"/>
      <c r="IK9" s="20"/>
      <c r="IL9" s="20"/>
      <c r="IM9" s="20"/>
      <c r="IN9" s="20"/>
    </row>
    <row r="10" spans="1:248" s="18" customFormat="1" ht="15.75" customHeight="1">
      <c r="A10" s="122" t="s">
        <v>12</v>
      </c>
      <c r="B10" s="122"/>
      <c r="C10" s="122"/>
      <c r="D10" s="14"/>
      <c r="E10" s="14"/>
      <c r="F10" s="14"/>
      <c r="G10" s="15"/>
      <c r="J10" s="19"/>
      <c r="K10" s="22"/>
      <c r="L10" s="22"/>
      <c r="IJ10" s="20"/>
      <c r="IK10" s="20"/>
      <c r="IL10" s="20"/>
      <c r="IM10" s="20"/>
      <c r="IN10" s="20"/>
    </row>
    <row r="11" spans="1:248" s="18" customFormat="1" ht="44.25" customHeight="1">
      <c r="A11" s="21" t="s">
        <v>13</v>
      </c>
      <c r="B11" s="21" t="s">
        <v>14</v>
      </c>
      <c r="C11" s="23">
        <f>C12+C13+C14</f>
        <v>1764</v>
      </c>
      <c r="D11" s="24">
        <f>D12+D13+D14</f>
        <v>10</v>
      </c>
      <c r="E11" s="24">
        <f>E12+E13+E14</f>
        <v>94</v>
      </c>
      <c r="F11" s="24">
        <f>F12+F13+F14</f>
        <v>830</v>
      </c>
      <c r="G11" s="25">
        <f>G12+G13+G14</f>
        <v>830</v>
      </c>
      <c r="J11" s="19"/>
      <c r="K11" s="22"/>
      <c r="L11" s="22"/>
      <c r="IJ11" s="20"/>
      <c r="IK11" s="20"/>
      <c r="IL11" s="20"/>
      <c r="IM11" s="20"/>
      <c r="IN11" s="20"/>
    </row>
    <row r="12" spans="1:248" s="18" customFormat="1" ht="15.75" customHeight="1">
      <c r="A12" s="26" t="s">
        <v>15</v>
      </c>
      <c r="B12" s="123"/>
      <c r="C12" s="27">
        <f>D12+E12+F12+G12</f>
        <v>240</v>
      </c>
      <c r="D12" s="28">
        <v>2</v>
      </c>
      <c r="E12" s="28">
        <v>14</v>
      </c>
      <c r="F12" s="28">
        <v>112</v>
      </c>
      <c r="G12" s="29">
        <v>112</v>
      </c>
      <c r="J12" s="19"/>
      <c r="K12" s="22"/>
      <c r="L12" s="22"/>
      <c r="IJ12" s="20"/>
      <c r="IK12" s="20"/>
      <c r="IL12" s="20"/>
      <c r="IM12" s="20"/>
      <c r="IN12" s="20"/>
    </row>
    <row r="13" spans="1:248" s="18" customFormat="1" ht="16.5" customHeight="1">
      <c r="A13" s="30" t="s">
        <v>16</v>
      </c>
      <c r="B13" s="123"/>
      <c r="C13" s="27">
        <f>D13+E13+F13+G13</f>
        <v>1364</v>
      </c>
      <c r="D13" s="28">
        <v>8</v>
      </c>
      <c r="E13" s="28">
        <v>80</v>
      </c>
      <c r="F13" s="28">
        <v>638</v>
      </c>
      <c r="G13" s="29">
        <v>638</v>
      </c>
      <c r="J13" s="19"/>
      <c r="K13" s="22"/>
      <c r="L13" s="22"/>
      <c r="IJ13" s="20"/>
      <c r="IK13" s="20"/>
      <c r="IL13" s="20"/>
      <c r="IM13" s="20"/>
      <c r="IN13" s="20"/>
    </row>
    <row r="14" spans="1:248" s="18" customFormat="1" ht="15.75" customHeight="1">
      <c r="A14" s="30" t="s">
        <v>17</v>
      </c>
      <c r="B14" s="123"/>
      <c r="C14" s="27">
        <f>D14+E14+F14+G14</f>
        <v>160</v>
      </c>
      <c r="D14" s="28">
        <v>0</v>
      </c>
      <c r="E14" s="28">
        <v>0</v>
      </c>
      <c r="F14" s="28">
        <v>80</v>
      </c>
      <c r="G14" s="29">
        <v>80</v>
      </c>
      <c r="J14" s="19"/>
      <c r="K14" s="22"/>
      <c r="L14" s="22"/>
      <c r="IJ14" s="20"/>
      <c r="IK14" s="20"/>
      <c r="IL14" s="20"/>
      <c r="IM14" s="20"/>
      <c r="IN14" s="20"/>
    </row>
    <row r="15" spans="1:248" s="18" customFormat="1" ht="18" customHeight="1" hidden="1">
      <c r="A15" s="30"/>
      <c r="B15" s="21"/>
      <c r="C15" s="27"/>
      <c r="D15" s="28"/>
      <c r="E15" s="28"/>
      <c r="F15" s="28"/>
      <c r="G15" s="29"/>
      <c r="J15" s="19"/>
      <c r="K15" s="22"/>
      <c r="L15" s="22"/>
      <c r="IJ15" s="20"/>
      <c r="IK15" s="20"/>
      <c r="IL15" s="20"/>
      <c r="IM15" s="20"/>
      <c r="IN15" s="20"/>
    </row>
    <row r="16" spans="1:248" s="18" customFormat="1" ht="18" customHeight="1" hidden="1">
      <c r="A16" s="31"/>
      <c r="B16" s="21"/>
      <c r="C16" s="23">
        <f>C17+C18+C19+C20</f>
        <v>1764</v>
      </c>
      <c r="D16" s="32">
        <f>D17+D18+D19+D20</f>
        <v>10</v>
      </c>
      <c r="E16" s="32">
        <f>E17+E18+E19+E20</f>
        <v>94</v>
      </c>
      <c r="F16" s="32">
        <f>F17+F18+F19+F20</f>
        <v>830</v>
      </c>
      <c r="G16" s="33">
        <f>G17+G18+G19+G20</f>
        <v>830</v>
      </c>
      <c r="J16" s="19"/>
      <c r="K16" s="22"/>
      <c r="L16" s="22"/>
      <c r="IJ16" s="20"/>
      <c r="IK16" s="20"/>
      <c r="IL16" s="20"/>
      <c r="IM16" s="20"/>
      <c r="IN16" s="20"/>
    </row>
    <row r="17" spans="1:248" s="18" customFormat="1" ht="17.25" customHeight="1" hidden="1">
      <c r="A17" s="30" t="s">
        <v>18</v>
      </c>
      <c r="B17" s="21"/>
      <c r="C17" s="27">
        <f>D17+E17+F17+G17</f>
        <v>209</v>
      </c>
      <c r="D17" s="28">
        <v>1</v>
      </c>
      <c r="E17" s="28">
        <v>12</v>
      </c>
      <c r="F17" s="28">
        <v>98</v>
      </c>
      <c r="G17" s="28">
        <v>98</v>
      </c>
      <c r="J17" s="19"/>
      <c r="K17" s="22"/>
      <c r="L17" s="22"/>
      <c r="IJ17" s="20"/>
      <c r="IK17" s="20"/>
      <c r="IL17" s="20"/>
      <c r="IM17" s="20"/>
      <c r="IN17" s="20"/>
    </row>
    <row r="18" spans="1:248" s="18" customFormat="1" ht="18" customHeight="1" hidden="1">
      <c r="A18" s="30" t="s">
        <v>19</v>
      </c>
      <c r="B18" s="21"/>
      <c r="C18" s="27">
        <f>D18+E18+F18+G18</f>
        <v>1363</v>
      </c>
      <c r="D18" s="28">
        <v>9</v>
      </c>
      <c r="E18" s="28">
        <v>80</v>
      </c>
      <c r="F18" s="28">
        <v>637</v>
      </c>
      <c r="G18" s="28">
        <v>637</v>
      </c>
      <c r="I18" s="34"/>
      <c r="J18" s="19"/>
      <c r="K18" s="22"/>
      <c r="L18" s="19"/>
      <c r="IJ18" s="20"/>
      <c r="IK18" s="20"/>
      <c r="IL18" s="20"/>
      <c r="IM18" s="20"/>
      <c r="IN18" s="20"/>
    </row>
    <row r="19" spans="1:248" s="19" customFormat="1" ht="18" customHeight="1" hidden="1">
      <c r="A19" s="35" t="s">
        <v>20</v>
      </c>
      <c r="B19" s="36"/>
      <c r="C19" s="37">
        <f>D19+E19+F19+G19</f>
        <v>0</v>
      </c>
      <c r="D19" s="28">
        <v>0</v>
      </c>
      <c r="E19" s="28">
        <v>0</v>
      </c>
      <c r="F19" s="28">
        <v>0</v>
      </c>
      <c r="G19" s="29">
        <v>0</v>
      </c>
      <c r="I19" s="38"/>
      <c r="IJ19" s="39"/>
      <c r="IK19" s="39"/>
      <c r="IL19" s="39"/>
      <c r="IM19" s="39"/>
      <c r="IN19" s="39"/>
    </row>
    <row r="20" spans="1:248" s="18" customFormat="1" ht="14.25" hidden="1">
      <c r="A20" s="35" t="s">
        <v>21</v>
      </c>
      <c r="B20" s="21"/>
      <c r="C20" s="40">
        <f>D20+E20+F20+G20</f>
        <v>192</v>
      </c>
      <c r="D20" s="27">
        <v>0</v>
      </c>
      <c r="E20" s="27">
        <v>2</v>
      </c>
      <c r="F20" s="27">
        <v>95</v>
      </c>
      <c r="G20" s="27">
        <v>95</v>
      </c>
      <c r="I20" s="34"/>
      <c r="J20" s="19"/>
      <c r="K20" s="22"/>
      <c r="L20" s="22"/>
      <c r="IJ20" s="20"/>
      <c r="IK20" s="20"/>
      <c r="IL20" s="20"/>
      <c r="IM20" s="20"/>
      <c r="IN20" s="20"/>
    </row>
    <row r="21" spans="1:248" s="18" customFormat="1" ht="45" customHeight="1">
      <c r="A21" s="21" t="s">
        <v>13</v>
      </c>
      <c r="B21" s="21" t="s">
        <v>22</v>
      </c>
      <c r="C21" s="32">
        <f>C22+C23+C24</f>
        <v>3958</v>
      </c>
      <c r="D21" s="24">
        <f>D22+D23+D24</f>
        <v>123</v>
      </c>
      <c r="E21" s="24">
        <f>E22+E23+E24</f>
        <v>0</v>
      </c>
      <c r="F21" s="24">
        <f>F22+F23+F24</f>
        <v>1917</v>
      </c>
      <c r="G21" s="25">
        <f>G22+G23+G24</f>
        <v>1918</v>
      </c>
      <c r="J21" s="19"/>
      <c r="K21" s="22"/>
      <c r="L21" s="22"/>
      <c r="IJ21" s="20"/>
      <c r="IK21" s="20"/>
      <c r="IL21" s="20"/>
      <c r="IM21" s="20"/>
      <c r="IN21" s="20"/>
    </row>
    <row r="22" spans="1:248" s="18" customFormat="1" ht="16.5" customHeight="1">
      <c r="A22" s="26" t="s">
        <v>15</v>
      </c>
      <c r="B22" s="124"/>
      <c r="C22" s="28">
        <f>D22+E22+F22+G22</f>
        <v>563</v>
      </c>
      <c r="D22" s="28">
        <v>18</v>
      </c>
      <c r="E22" s="28">
        <v>0</v>
      </c>
      <c r="F22" s="28">
        <v>272</v>
      </c>
      <c r="G22" s="29">
        <v>273</v>
      </c>
      <c r="J22" s="19"/>
      <c r="K22" s="22"/>
      <c r="L22" s="22"/>
      <c r="IJ22" s="20"/>
      <c r="IK22" s="20"/>
      <c r="IL22" s="20"/>
      <c r="IM22" s="20"/>
      <c r="IN22" s="20"/>
    </row>
    <row r="23" spans="1:248" s="18" customFormat="1" ht="15.75" customHeight="1">
      <c r="A23" s="30" t="s">
        <v>16</v>
      </c>
      <c r="B23" s="124"/>
      <c r="C23" s="28">
        <f>D23+E23+F23+G23</f>
        <v>3195</v>
      </c>
      <c r="D23" s="28">
        <v>105</v>
      </c>
      <c r="E23" s="28">
        <v>0</v>
      </c>
      <c r="F23" s="28">
        <v>1545</v>
      </c>
      <c r="G23" s="29">
        <v>1545</v>
      </c>
      <c r="J23" s="19"/>
      <c r="K23" s="22"/>
      <c r="L23" s="22"/>
      <c r="IJ23" s="20"/>
      <c r="IK23" s="20"/>
      <c r="IL23" s="20"/>
      <c r="IM23" s="20"/>
      <c r="IN23" s="20"/>
    </row>
    <row r="24" spans="1:248" s="18" customFormat="1" ht="16.5" customHeight="1">
      <c r="A24" s="30" t="s">
        <v>17</v>
      </c>
      <c r="B24" s="124"/>
      <c r="C24" s="28">
        <f>D24+E24+F24+G24</f>
        <v>200</v>
      </c>
      <c r="D24" s="28">
        <v>0</v>
      </c>
      <c r="E24" s="28">
        <v>0</v>
      </c>
      <c r="F24" s="28">
        <v>100</v>
      </c>
      <c r="G24" s="29">
        <v>100</v>
      </c>
      <c r="J24" s="19"/>
      <c r="K24" s="22"/>
      <c r="L24" s="22"/>
      <c r="IJ24" s="20"/>
      <c r="IK24" s="20"/>
      <c r="IL24" s="20"/>
      <c r="IM24" s="20"/>
      <c r="IN24" s="20"/>
    </row>
    <row r="25" spans="1:248" s="18" customFormat="1" ht="16.5" customHeight="1" hidden="1">
      <c r="A25" s="30"/>
      <c r="B25" s="21"/>
      <c r="C25" s="28"/>
      <c r="D25" s="28"/>
      <c r="E25" s="28"/>
      <c r="F25" s="28"/>
      <c r="G25" s="29"/>
      <c r="J25" s="19"/>
      <c r="K25" s="22"/>
      <c r="L25" s="22"/>
      <c r="IJ25" s="20"/>
      <c r="IK25" s="20"/>
      <c r="IL25" s="20"/>
      <c r="IM25" s="20"/>
      <c r="IN25" s="20"/>
    </row>
    <row r="26" spans="1:248" s="18" customFormat="1" ht="18" customHeight="1" hidden="1">
      <c r="A26" s="31"/>
      <c r="B26" s="21"/>
      <c r="C26" s="32">
        <f>C27+C28+C29+C30</f>
        <v>3958</v>
      </c>
      <c r="D26" s="32">
        <f>D27+D28+D29+D30</f>
        <v>123</v>
      </c>
      <c r="E26" s="32">
        <v>0</v>
      </c>
      <c r="F26" s="32">
        <f>F27+F28+F29+F30</f>
        <v>1917</v>
      </c>
      <c r="G26" s="33">
        <f>G27+G28+G29+G30</f>
        <v>1918</v>
      </c>
      <c r="J26" s="19"/>
      <c r="K26" s="22"/>
      <c r="L26" s="22"/>
      <c r="IJ26" s="20"/>
      <c r="IK26" s="20"/>
      <c r="IL26" s="20"/>
      <c r="IM26" s="20"/>
      <c r="IN26" s="20"/>
    </row>
    <row r="27" spans="1:248" s="18" customFormat="1" ht="17.25" customHeight="1" hidden="1">
      <c r="A27" s="30" t="s">
        <v>18</v>
      </c>
      <c r="B27" s="21"/>
      <c r="C27" s="27">
        <f>D27+E27+F27+G27</f>
        <v>488</v>
      </c>
      <c r="D27" s="28">
        <v>16</v>
      </c>
      <c r="E27" s="28">
        <v>0</v>
      </c>
      <c r="F27" s="28">
        <v>236</v>
      </c>
      <c r="G27" s="28">
        <v>236</v>
      </c>
      <c r="J27" s="19"/>
      <c r="K27" s="22"/>
      <c r="L27" s="22"/>
      <c r="IJ27" s="20"/>
      <c r="IK27" s="20"/>
      <c r="IL27" s="20"/>
      <c r="IM27" s="20"/>
      <c r="IN27" s="20"/>
    </row>
    <row r="28" spans="1:248" s="18" customFormat="1" ht="17.25" customHeight="1" hidden="1">
      <c r="A28" s="30" t="s">
        <v>19</v>
      </c>
      <c r="B28" s="21"/>
      <c r="C28" s="27">
        <f>D28+E28+F28+G28</f>
        <v>3195</v>
      </c>
      <c r="D28" s="28">
        <v>105</v>
      </c>
      <c r="E28" s="28">
        <v>0</v>
      </c>
      <c r="F28" s="28">
        <v>1545</v>
      </c>
      <c r="G28" s="28">
        <v>1545</v>
      </c>
      <c r="J28" s="19"/>
      <c r="K28" s="22"/>
      <c r="L28" s="22"/>
      <c r="IJ28" s="20"/>
      <c r="IK28" s="20"/>
      <c r="IL28" s="20"/>
      <c r="IM28" s="20"/>
      <c r="IN28" s="20"/>
    </row>
    <row r="29" spans="1:248" s="18" customFormat="1" ht="18" customHeight="1" hidden="1">
      <c r="A29" s="30" t="s">
        <v>20</v>
      </c>
      <c r="B29" s="21"/>
      <c r="C29" s="37">
        <f>D29+E29+F29+G29</f>
        <v>0</v>
      </c>
      <c r="D29" s="28">
        <v>0</v>
      </c>
      <c r="E29" s="28">
        <v>0</v>
      </c>
      <c r="F29" s="28">
        <v>0</v>
      </c>
      <c r="G29" s="29">
        <v>0</v>
      </c>
      <c r="J29" s="19"/>
      <c r="K29" s="22"/>
      <c r="L29" s="22"/>
      <c r="IJ29" s="20"/>
      <c r="IK29" s="20"/>
      <c r="IL29" s="20"/>
      <c r="IM29" s="20"/>
      <c r="IN29" s="20"/>
    </row>
    <row r="30" spans="1:248" s="18" customFormat="1" ht="14.25" hidden="1">
      <c r="A30" s="35" t="s">
        <v>21</v>
      </c>
      <c r="B30" s="21"/>
      <c r="C30" s="40">
        <f>D30+E30+F30+G30</f>
        <v>275</v>
      </c>
      <c r="D30" s="27">
        <v>2</v>
      </c>
      <c r="E30" s="27">
        <v>0</v>
      </c>
      <c r="F30" s="27">
        <v>136</v>
      </c>
      <c r="G30" s="27">
        <v>137</v>
      </c>
      <c r="J30" s="19"/>
      <c r="K30" s="22"/>
      <c r="L30" s="22"/>
      <c r="IJ30" s="20"/>
      <c r="IK30" s="20"/>
      <c r="IL30" s="20"/>
      <c r="IM30" s="20"/>
      <c r="IN30" s="20"/>
    </row>
    <row r="31" spans="1:248" s="18" customFormat="1" ht="32.25" customHeight="1">
      <c r="A31" s="21" t="s">
        <v>13</v>
      </c>
      <c r="B31" s="21" t="s">
        <v>23</v>
      </c>
      <c r="C31" s="32">
        <f>C32+C33+C34</f>
        <v>4471</v>
      </c>
      <c r="D31" s="24">
        <f>D32+D33+D34</f>
        <v>144</v>
      </c>
      <c r="E31" s="24">
        <f>E32+E33+E34</f>
        <v>1178</v>
      </c>
      <c r="F31" s="24">
        <f>F32+F33+F34</f>
        <v>1407</v>
      </c>
      <c r="G31" s="25">
        <f>G32+G33+G34</f>
        <v>1742</v>
      </c>
      <c r="J31" s="19"/>
      <c r="K31" s="22"/>
      <c r="L31" s="22"/>
      <c r="IJ31" s="20"/>
      <c r="IK31" s="20"/>
      <c r="IL31" s="20"/>
      <c r="IM31" s="20"/>
      <c r="IN31" s="20"/>
    </row>
    <row r="32" spans="1:248" s="18" customFormat="1" ht="17.25" customHeight="1">
      <c r="A32" s="26" t="s">
        <v>15</v>
      </c>
      <c r="B32" s="123"/>
      <c r="C32" s="28">
        <f>D32+E32+F32+G32</f>
        <v>521</v>
      </c>
      <c r="D32" s="28">
        <v>22</v>
      </c>
      <c r="E32" s="28">
        <v>177</v>
      </c>
      <c r="F32" s="28">
        <v>161</v>
      </c>
      <c r="G32" s="29">
        <v>161</v>
      </c>
      <c r="J32" s="19"/>
      <c r="K32" s="22"/>
      <c r="L32" s="22"/>
      <c r="IJ32" s="20"/>
      <c r="IK32" s="20"/>
      <c r="IL32" s="20"/>
      <c r="IM32" s="20"/>
      <c r="IN32" s="20"/>
    </row>
    <row r="33" spans="1:248" s="18" customFormat="1" ht="18" customHeight="1">
      <c r="A33" s="30" t="s">
        <v>16</v>
      </c>
      <c r="B33" s="123"/>
      <c r="C33" s="28">
        <f>D33+E33+F33+G33</f>
        <v>2948</v>
      </c>
      <c r="D33" s="28">
        <v>122</v>
      </c>
      <c r="E33" s="28">
        <v>1001</v>
      </c>
      <c r="F33" s="28">
        <v>912</v>
      </c>
      <c r="G33" s="29">
        <v>913</v>
      </c>
      <c r="J33" s="19"/>
      <c r="K33" s="22"/>
      <c r="L33" s="22"/>
      <c r="IJ33" s="20"/>
      <c r="IK33" s="20"/>
      <c r="IL33" s="20"/>
      <c r="IM33" s="20"/>
      <c r="IN33" s="20"/>
    </row>
    <row r="34" spans="1:248" s="18" customFormat="1" ht="18" customHeight="1">
      <c r="A34" s="30" t="s">
        <v>17</v>
      </c>
      <c r="B34" s="123"/>
      <c r="C34" s="28">
        <f>D34+E34+F34+G34</f>
        <v>1002</v>
      </c>
      <c r="D34" s="28">
        <v>0</v>
      </c>
      <c r="E34" s="28">
        <v>0</v>
      </c>
      <c r="F34" s="28">
        <v>334</v>
      </c>
      <c r="G34" s="29">
        <v>668</v>
      </c>
      <c r="J34" s="19"/>
      <c r="K34" s="22"/>
      <c r="L34" s="22"/>
      <c r="IJ34" s="20"/>
      <c r="IK34" s="20"/>
      <c r="IL34" s="20"/>
      <c r="IM34" s="20"/>
      <c r="IN34" s="20"/>
    </row>
    <row r="35" spans="1:248" s="18" customFormat="1" ht="18.75" customHeight="1" hidden="1">
      <c r="A35" s="30"/>
      <c r="B35" s="123"/>
      <c r="C35" s="28"/>
      <c r="D35" s="42"/>
      <c r="E35" s="28"/>
      <c r="F35" s="28"/>
      <c r="G35" s="29"/>
      <c r="J35" s="19"/>
      <c r="K35" s="22"/>
      <c r="L35" s="22"/>
      <c r="IJ35" s="20"/>
      <c r="IK35" s="20"/>
      <c r="IL35" s="20"/>
      <c r="IM35" s="20"/>
      <c r="IN35" s="20"/>
    </row>
    <row r="36" spans="1:248" s="18" customFormat="1" ht="18" customHeight="1" hidden="1">
      <c r="A36" s="31"/>
      <c r="B36" s="21"/>
      <c r="C36" s="32">
        <f>C37+C38+C39+C40</f>
        <v>4471</v>
      </c>
      <c r="D36" s="43">
        <f>D37+D38+D39+D40</f>
        <v>144</v>
      </c>
      <c r="E36" s="43">
        <f>E37+E38+E39+E40</f>
        <v>1178</v>
      </c>
      <c r="F36" s="43">
        <f>F37+F38+F39+F40</f>
        <v>1407</v>
      </c>
      <c r="G36" s="44">
        <f>G37+G38+G39+G40</f>
        <v>1742</v>
      </c>
      <c r="J36" s="19"/>
      <c r="K36" s="22"/>
      <c r="L36" s="22"/>
      <c r="IJ36" s="20"/>
      <c r="IK36" s="20"/>
      <c r="IL36" s="20"/>
      <c r="IM36" s="20"/>
      <c r="IN36" s="20"/>
    </row>
    <row r="37" spans="1:248" s="18" customFormat="1" ht="18" customHeight="1" hidden="1">
      <c r="A37" s="30" t="s">
        <v>18</v>
      </c>
      <c r="B37" s="21"/>
      <c r="C37" s="27">
        <f>D37+E37+F37+G37</f>
        <v>451</v>
      </c>
      <c r="D37" s="42">
        <v>19</v>
      </c>
      <c r="E37" s="42">
        <v>153</v>
      </c>
      <c r="F37" s="28">
        <v>139</v>
      </c>
      <c r="G37" s="42">
        <v>140</v>
      </c>
      <c r="J37" s="19"/>
      <c r="K37" s="22"/>
      <c r="L37" s="22"/>
      <c r="IJ37" s="20"/>
      <c r="IK37" s="20"/>
      <c r="IL37" s="20"/>
      <c r="IM37" s="20"/>
      <c r="IN37" s="20"/>
    </row>
    <row r="38" spans="1:248" s="18" customFormat="1" ht="18" customHeight="1" hidden="1">
      <c r="A38" s="30" t="s">
        <v>19</v>
      </c>
      <c r="B38" s="21"/>
      <c r="C38" s="27">
        <f>D38+E38+F38+G38</f>
        <v>2947</v>
      </c>
      <c r="D38" s="42">
        <v>122</v>
      </c>
      <c r="E38" s="42">
        <v>1001</v>
      </c>
      <c r="F38" s="42">
        <v>912</v>
      </c>
      <c r="G38" s="42">
        <v>912</v>
      </c>
      <c r="J38" s="19"/>
      <c r="K38" s="22"/>
      <c r="L38" s="22"/>
      <c r="IJ38" s="20"/>
      <c r="IK38" s="20"/>
      <c r="IL38" s="20"/>
      <c r="IM38" s="20"/>
      <c r="IN38" s="20"/>
    </row>
    <row r="39" spans="1:248" s="18" customFormat="1" ht="18" customHeight="1" hidden="1">
      <c r="A39" s="30" t="s">
        <v>20</v>
      </c>
      <c r="B39" s="21"/>
      <c r="C39" s="37">
        <f>D39+E39+F39+G39</f>
        <v>0</v>
      </c>
      <c r="D39" s="42">
        <v>0</v>
      </c>
      <c r="E39" s="42">
        <v>0</v>
      </c>
      <c r="F39" s="42">
        <v>0</v>
      </c>
      <c r="G39" s="45">
        <v>0</v>
      </c>
      <c r="J39" s="19"/>
      <c r="K39" s="22"/>
      <c r="L39" s="22"/>
      <c r="IJ39" s="20"/>
      <c r="IK39" s="20"/>
      <c r="IL39" s="20"/>
      <c r="IM39" s="20"/>
      <c r="IN39" s="20"/>
    </row>
    <row r="40" spans="1:248" s="18" customFormat="1" ht="18" customHeight="1" hidden="1">
      <c r="A40" s="35" t="s">
        <v>21</v>
      </c>
      <c r="B40" s="21"/>
      <c r="C40" s="40">
        <f>D40+E40+F40+G40</f>
        <v>1073</v>
      </c>
      <c r="D40" s="37">
        <v>3</v>
      </c>
      <c r="E40" s="37">
        <v>24</v>
      </c>
      <c r="F40" s="37">
        <v>356</v>
      </c>
      <c r="G40" s="37">
        <v>690</v>
      </c>
      <c r="J40" s="46"/>
      <c r="K40" s="22"/>
      <c r="L40" s="22"/>
      <c r="IJ40" s="20"/>
      <c r="IK40" s="20"/>
      <c r="IL40" s="20"/>
      <c r="IM40" s="20"/>
      <c r="IN40" s="20"/>
    </row>
    <row r="41" spans="1:248" s="18" customFormat="1" ht="31.5" customHeight="1">
      <c r="A41" s="21" t="s">
        <v>13</v>
      </c>
      <c r="B41" s="47" t="s">
        <v>24</v>
      </c>
      <c r="C41" s="32">
        <f>C42+C43+C44</f>
        <v>1757</v>
      </c>
      <c r="D41" s="24">
        <f>D42+D43+D44</f>
        <v>125</v>
      </c>
      <c r="E41" s="24">
        <f>E42+E43+E44</f>
        <v>0</v>
      </c>
      <c r="F41" s="24">
        <f>F42+F43+F44</f>
        <v>1632</v>
      </c>
      <c r="G41" s="24">
        <f>G42+G43+G44</f>
        <v>0</v>
      </c>
      <c r="J41" s="46"/>
      <c r="K41" s="22"/>
      <c r="L41" s="22"/>
      <c r="IJ41" s="20"/>
      <c r="IK41" s="20"/>
      <c r="IL41" s="20"/>
      <c r="IM41" s="20"/>
      <c r="IN41" s="20"/>
    </row>
    <row r="42" spans="1:248" s="18" customFormat="1" ht="18" customHeight="1">
      <c r="A42" s="26" t="s">
        <v>15</v>
      </c>
      <c r="B42" s="123"/>
      <c r="C42" s="28">
        <f>D42+E42+F42+G42</f>
        <v>264</v>
      </c>
      <c r="D42" s="28">
        <v>19</v>
      </c>
      <c r="E42" s="28">
        <v>0</v>
      </c>
      <c r="F42" s="28">
        <v>245</v>
      </c>
      <c r="G42" s="29">
        <v>0</v>
      </c>
      <c r="J42" s="46"/>
      <c r="K42" s="22"/>
      <c r="L42" s="22"/>
      <c r="IJ42" s="20"/>
      <c r="IK42" s="20"/>
      <c r="IL42" s="20"/>
      <c r="IM42" s="20"/>
      <c r="IN42" s="20"/>
    </row>
    <row r="43" spans="1:248" s="18" customFormat="1" ht="18" customHeight="1">
      <c r="A43" s="30" t="s">
        <v>16</v>
      </c>
      <c r="B43" s="123"/>
      <c r="C43" s="28">
        <f>D43+E43+F43+G43</f>
        <v>1493</v>
      </c>
      <c r="D43" s="28">
        <v>106</v>
      </c>
      <c r="E43" s="28">
        <v>0</v>
      </c>
      <c r="F43" s="28">
        <v>1387</v>
      </c>
      <c r="G43" s="29">
        <v>0</v>
      </c>
      <c r="J43" s="46"/>
      <c r="K43" s="22"/>
      <c r="L43" s="22"/>
      <c r="IJ43" s="20"/>
      <c r="IK43" s="20"/>
      <c r="IL43" s="20"/>
      <c r="IM43" s="20"/>
      <c r="IN43" s="20"/>
    </row>
    <row r="44" spans="1:248" s="18" customFormat="1" ht="18" customHeight="1">
      <c r="A44" s="30" t="s">
        <v>17</v>
      </c>
      <c r="B44" s="123"/>
      <c r="C44" s="28">
        <f>D44+E44+F44+G44</f>
        <v>0</v>
      </c>
      <c r="D44" s="28">
        <v>0</v>
      </c>
      <c r="E44" s="28">
        <v>0</v>
      </c>
      <c r="F44" s="28">
        <v>0</v>
      </c>
      <c r="G44" s="29">
        <v>0</v>
      </c>
      <c r="J44" s="46"/>
      <c r="K44" s="22"/>
      <c r="L44" s="22"/>
      <c r="IJ44" s="20"/>
      <c r="IK44" s="20"/>
      <c r="IL44" s="20"/>
      <c r="IM44" s="20"/>
      <c r="IN44" s="20"/>
    </row>
    <row r="45" spans="1:248" s="18" customFormat="1" ht="18" customHeight="1" hidden="1">
      <c r="A45" s="30"/>
      <c r="B45" s="21"/>
      <c r="C45" s="28"/>
      <c r="D45" s="28"/>
      <c r="E45" s="28"/>
      <c r="F45" s="28"/>
      <c r="G45" s="29"/>
      <c r="J45" s="46"/>
      <c r="K45" s="22"/>
      <c r="L45" s="22"/>
      <c r="IJ45" s="20"/>
      <c r="IK45" s="20"/>
      <c r="IL45" s="20"/>
      <c r="IM45" s="20"/>
      <c r="IN45" s="20"/>
    </row>
    <row r="46" spans="1:248" s="18" customFormat="1" ht="18" customHeight="1" hidden="1">
      <c r="A46" s="31"/>
      <c r="B46" s="21"/>
      <c r="C46" s="32">
        <f>C47+C48+C49+C50</f>
        <v>1756.5</v>
      </c>
      <c r="D46" s="32">
        <f>D47+D48+D49+D50</f>
        <v>124.5</v>
      </c>
      <c r="E46" s="32">
        <f>E47+E48+E49+E50</f>
        <v>0</v>
      </c>
      <c r="F46" s="32">
        <f>F47+F48+F49+F50</f>
        <v>1632</v>
      </c>
      <c r="G46" s="33">
        <f>G47+G48+G49+G50</f>
        <v>0</v>
      </c>
      <c r="J46" s="46"/>
      <c r="K46" s="22"/>
      <c r="L46" s="22"/>
      <c r="IJ46" s="20"/>
      <c r="IK46" s="20"/>
      <c r="IL46" s="20"/>
      <c r="IM46" s="20"/>
      <c r="IN46" s="20"/>
    </row>
    <row r="47" spans="1:248" s="18" customFormat="1" ht="18" customHeight="1" hidden="1">
      <c r="A47" s="30" t="s">
        <v>18</v>
      </c>
      <c r="B47" s="21"/>
      <c r="C47" s="42">
        <f>D47+E47+F47+G47</f>
        <v>228</v>
      </c>
      <c r="D47" s="28">
        <v>16</v>
      </c>
      <c r="E47" s="28">
        <v>0</v>
      </c>
      <c r="F47" s="48">
        <v>212</v>
      </c>
      <c r="G47" s="29">
        <v>0</v>
      </c>
      <c r="J47" s="46"/>
      <c r="K47" s="22"/>
      <c r="L47" s="22"/>
      <c r="IJ47" s="20"/>
      <c r="IK47" s="20"/>
      <c r="IL47" s="20"/>
      <c r="IM47" s="20"/>
      <c r="IN47" s="20"/>
    </row>
    <row r="48" spans="1:248" s="18" customFormat="1" ht="18" customHeight="1" hidden="1">
      <c r="A48" s="30" t="s">
        <v>19</v>
      </c>
      <c r="B48" s="21"/>
      <c r="C48" s="42">
        <f>D48+E48+F48+G48</f>
        <v>1493</v>
      </c>
      <c r="D48" s="28">
        <v>106</v>
      </c>
      <c r="E48" s="28">
        <v>0</v>
      </c>
      <c r="F48" s="48">
        <v>1387</v>
      </c>
      <c r="G48" s="45">
        <v>0</v>
      </c>
      <c r="J48" s="46"/>
      <c r="K48" s="22"/>
      <c r="L48" s="22"/>
      <c r="IJ48" s="20"/>
      <c r="IK48" s="20"/>
      <c r="IL48" s="20"/>
      <c r="IM48" s="20"/>
      <c r="IN48" s="20"/>
    </row>
    <row r="49" spans="1:248" s="18" customFormat="1" ht="18" customHeight="1" hidden="1">
      <c r="A49" s="30" t="s">
        <v>20</v>
      </c>
      <c r="B49" s="21"/>
      <c r="C49" s="42">
        <f>D49+E49+F49+G49</f>
        <v>0</v>
      </c>
      <c r="D49" s="28">
        <v>0</v>
      </c>
      <c r="E49" s="28">
        <v>0</v>
      </c>
      <c r="F49" s="48">
        <v>0</v>
      </c>
      <c r="G49" s="29">
        <v>0</v>
      </c>
      <c r="J49" s="46"/>
      <c r="K49" s="22"/>
      <c r="L49" s="22"/>
      <c r="IJ49" s="20"/>
      <c r="IK49" s="20"/>
      <c r="IL49" s="20"/>
      <c r="IM49" s="20"/>
      <c r="IN49" s="20"/>
    </row>
    <row r="50" spans="1:248" s="18" customFormat="1" ht="30.75" customHeight="1" hidden="1">
      <c r="A50" s="35" t="s">
        <v>21</v>
      </c>
      <c r="B50" s="21"/>
      <c r="C50" s="49">
        <f>D50+E50+F50+G50</f>
        <v>35.5</v>
      </c>
      <c r="D50" s="27">
        <f>(0.02*D41)+D44</f>
        <v>2.5</v>
      </c>
      <c r="E50" s="28">
        <v>0</v>
      </c>
      <c r="F50" s="50">
        <v>33</v>
      </c>
      <c r="G50" s="29">
        <v>0</v>
      </c>
      <c r="J50" s="46"/>
      <c r="K50" s="22"/>
      <c r="L50" s="22"/>
      <c r="IJ50" s="20"/>
      <c r="IK50" s="20"/>
      <c r="IL50" s="20"/>
      <c r="IM50" s="20"/>
      <c r="IN50" s="20"/>
    </row>
    <row r="51" spans="1:248" s="18" customFormat="1" ht="33" customHeight="1">
      <c r="A51" s="21" t="s">
        <v>13</v>
      </c>
      <c r="B51" s="47" t="s">
        <v>25</v>
      </c>
      <c r="C51" s="32">
        <f>C52+C53+C54</f>
        <v>2777</v>
      </c>
      <c r="D51" s="24">
        <f>D52+D53+D54</f>
        <v>158</v>
      </c>
      <c r="E51" s="24">
        <v>0</v>
      </c>
      <c r="F51" s="24">
        <f>F52+F53+F54</f>
        <v>2619</v>
      </c>
      <c r="G51" s="25">
        <v>0</v>
      </c>
      <c r="J51" s="46"/>
      <c r="K51" s="22"/>
      <c r="L51" s="22"/>
      <c r="IJ51" s="20"/>
      <c r="IK51" s="20"/>
      <c r="IL51" s="20"/>
      <c r="IM51" s="20"/>
      <c r="IN51" s="20"/>
    </row>
    <row r="52" spans="1:248" s="18" customFormat="1" ht="18" customHeight="1">
      <c r="A52" s="26" t="s">
        <v>15</v>
      </c>
      <c r="B52" s="123"/>
      <c r="C52" s="28">
        <f>D52+E52+F52+G52</f>
        <v>417</v>
      </c>
      <c r="D52" s="28">
        <v>24</v>
      </c>
      <c r="E52" s="28">
        <v>0</v>
      </c>
      <c r="F52" s="28">
        <v>393</v>
      </c>
      <c r="G52" s="29">
        <v>0</v>
      </c>
      <c r="J52" s="46"/>
      <c r="K52" s="22"/>
      <c r="L52" s="22"/>
      <c r="IJ52" s="20"/>
      <c r="IK52" s="20"/>
      <c r="IL52" s="20"/>
      <c r="IM52" s="20"/>
      <c r="IN52" s="20"/>
    </row>
    <row r="53" spans="1:248" s="18" customFormat="1" ht="18" customHeight="1">
      <c r="A53" s="30" t="s">
        <v>16</v>
      </c>
      <c r="B53" s="123"/>
      <c r="C53" s="28">
        <f>D53+E53+F53+G53</f>
        <v>2360</v>
      </c>
      <c r="D53" s="28">
        <v>134</v>
      </c>
      <c r="E53" s="28">
        <v>0</v>
      </c>
      <c r="F53" s="28">
        <v>2226</v>
      </c>
      <c r="G53" s="29">
        <v>0</v>
      </c>
      <c r="J53" s="46"/>
      <c r="K53" s="22"/>
      <c r="L53" s="22"/>
      <c r="IJ53" s="20"/>
      <c r="IK53" s="20"/>
      <c r="IL53" s="20"/>
      <c r="IM53" s="20"/>
      <c r="IN53" s="20"/>
    </row>
    <row r="54" spans="1:248" s="18" customFormat="1" ht="17.25" customHeight="1">
      <c r="A54" s="30" t="s">
        <v>17</v>
      </c>
      <c r="B54" s="123"/>
      <c r="C54" s="28">
        <f>D54+E54+F54+G54</f>
        <v>0</v>
      </c>
      <c r="D54" s="28">
        <v>0</v>
      </c>
      <c r="E54" s="28">
        <v>0</v>
      </c>
      <c r="F54" s="28">
        <v>0</v>
      </c>
      <c r="G54" s="29">
        <v>0</v>
      </c>
      <c r="J54" s="46"/>
      <c r="K54" s="22"/>
      <c r="L54" s="22"/>
      <c r="IJ54" s="20"/>
      <c r="IK54" s="20"/>
      <c r="IL54" s="20"/>
      <c r="IM54" s="20"/>
      <c r="IN54" s="20"/>
    </row>
    <row r="55" spans="1:248" s="18" customFormat="1" ht="18" customHeight="1" hidden="1">
      <c r="A55" s="30"/>
      <c r="B55" s="21"/>
      <c r="C55" s="28"/>
      <c r="D55" s="28"/>
      <c r="E55" s="28"/>
      <c r="F55" s="28"/>
      <c r="G55" s="29"/>
      <c r="J55" s="46"/>
      <c r="K55" s="22"/>
      <c r="L55" s="22"/>
      <c r="IJ55" s="20"/>
      <c r="IK55" s="20"/>
      <c r="IL55" s="20"/>
      <c r="IM55" s="20"/>
      <c r="IN55" s="20"/>
    </row>
    <row r="56" spans="1:248" s="18" customFormat="1" ht="18" customHeight="1" hidden="1">
      <c r="A56" s="31"/>
      <c r="B56" s="21"/>
      <c r="C56" s="32">
        <f>C57+C58+C59+C60</f>
        <v>2777</v>
      </c>
      <c r="D56" s="32">
        <f>D57+D58+D59+D60</f>
        <v>158</v>
      </c>
      <c r="E56" s="32">
        <f>E57+E58+E59+E60</f>
        <v>0</v>
      </c>
      <c r="F56" s="32">
        <f>F57+F58+F59+F60</f>
        <v>2619</v>
      </c>
      <c r="G56" s="33">
        <f>G57+G58+G59+G60</f>
        <v>0</v>
      </c>
      <c r="J56" s="46"/>
      <c r="K56" s="22"/>
      <c r="L56" s="22"/>
      <c r="IJ56" s="20"/>
      <c r="IK56" s="20"/>
      <c r="IL56" s="20"/>
      <c r="IM56" s="20"/>
      <c r="IN56" s="20"/>
    </row>
    <row r="57" spans="1:248" s="18" customFormat="1" ht="18" customHeight="1" hidden="1">
      <c r="A57" s="30" t="s">
        <v>18</v>
      </c>
      <c r="B57" s="21"/>
      <c r="C57" s="42">
        <f>D57+E57+F57+G57</f>
        <v>362</v>
      </c>
      <c r="D57" s="28">
        <v>21</v>
      </c>
      <c r="E57" s="28">
        <v>0</v>
      </c>
      <c r="F57" s="28">
        <v>341</v>
      </c>
      <c r="G57" s="29">
        <v>0</v>
      </c>
      <c r="J57" s="46"/>
      <c r="K57" s="22"/>
      <c r="L57" s="22"/>
      <c r="IJ57" s="20"/>
      <c r="IK57" s="20"/>
      <c r="IL57" s="20"/>
      <c r="IM57" s="20"/>
      <c r="IN57" s="20"/>
    </row>
    <row r="58" spans="1:248" s="18" customFormat="1" ht="18" customHeight="1" hidden="1">
      <c r="A58" s="30" t="s">
        <v>19</v>
      </c>
      <c r="B58" s="21"/>
      <c r="C58" s="42">
        <f>D58+E58+F58+G58</f>
        <v>2360</v>
      </c>
      <c r="D58" s="28">
        <v>134</v>
      </c>
      <c r="E58" s="28">
        <v>0</v>
      </c>
      <c r="F58" s="28">
        <v>2226</v>
      </c>
      <c r="G58" s="29">
        <v>0</v>
      </c>
      <c r="J58" s="46"/>
      <c r="K58" s="22"/>
      <c r="L58" s="22"/>
      <c r="IJ58" s="20"/>
      <c r="IK58" s="20"/>
      <c r="IL58" s="20"/>
      <c r="IM58" s="20"/>
      <c r="IN58" s="20"/>
    </row>
    <row r="59" spans="1:248" s="18" customFormat="1" ht="18" customHeight="1" hidden="1">
      <c r="A59" s="30" t="s">
        <v>20</v>
      </c>
      <c r="B59" s="21"/>
      <c r="C59" s="42">
        <f>D59+E59+F59+G59</f>
        <v>0</v>
      </c>
      <c r="D59" s="28">
        <v>0</v>
      </c>
      <c r="E59" s="28">
        <v>0</v>
      </c>
      <c r="F59" s="28">
        <v>0</v>
      </c>
      <c r="G59" s="29">
        <v>0</v>
      </c>
      <c r="J59" s="46"/>
      <c r="K59" s="22"/>
      <c r="L59" s="22"/>
      <c r="IJ59" s="20"/>
      <c r="IK59" s="20"/>
      <c r="IL59" s="20"/>
      <c r="IM59" s="20"/>
      <c r="IN59" s="20"/>
    </row>
    <row r="60" spans="1:248" s="18" customFormat="1" ht="30" customHeight="1" hidden="1">
      <c r="A60" s="35" t="s">
        <v>21</v>
      </c>
      <c r="B60" s="21"/>
      <c r="C60" s="51">
        <f>D60+E60+F60+G60</f>
        <v>55</v>
      </c>
      <c r="D60" s="28">
        <v>3</v>
      </c>
      <c r="E60" s="28">
        <v>0</v>
      </c>
      <c r="F60" s="28">
        <v>52</v>
      </c>
      <c r="G60" s="29">
        <v>0</v>
      </c>
      <c r="J60" s="46"/>
      <c r="K60" s="22"/>
      <c r="L60" s="22"/>
      <c r="IJ60" s="20"/>
      <c r="IK60" s="20"/>
      <c r="IL60" s="20"/>
      <c r="IM60" s="20"/>
      <c r="IN60" s="20"/>
    </row>
    <row r="61" spans="1:248" s="18" customFormat="1" ht="30.75" customHeight="1">
      <c r="A61" s="21" t="s">
        <v>13</v>
      </c>
      <c r="B61" s="47" t="s">
        <v>26</v>
      </c>
      <c r="C61" s="32">
        <f>C62+C63+C64</f>
        <v>1693</v>
      </c>
      <c r="D61" s="24">
        <f>D62+D63+D64</f>
        <v>147</v>
      </c>
      <c r="E61" s="24">
        <v>0</v>
      </c>
      <c r="F61" s="24">
        <f>F62+F63+F64</f>
        <v>1546</v>
      </c>
      <c r="G61" s="25">
        <f>G62+G63+G64</f>
        <v>0</v>
      </c>
      <c r="J61" s="46"/>
      <c r="K61" s="22"/>
      <c r="L61" s="22"/>
      <c r="IJ61" s="20"/>
      <c r="IK61" s="20"/>
      <c r="IL61" s="20"/>
      <c r="IM61" s="20"/>
      <c r="IN61" s="20"/>
    </row>
    <row r="62" spans="1:248" s="18" customFormat="1" ht="16.5" customHeight="1">
      <c r="A62" s="26" t="s">
        <v>15</v>
      </c>
      <c r="B62" s="123"/>
      <c r="C62" s="28">
        <f>D62+E62+F62+G62</f>
        <v>254</v>
      </c>
      <c r="D62" s="28">
        <v>22</v>
      </c>
      <c r="E62" s="28">
        <v>0</v>
      </c>
      <c r="F62" s="28">
        <v>232</v>
      </c>
      <c r="G62" s="29">
        <v>0</v>
      </c>
      <c r="J62" s="46"/>
      <c r="K62" s="22"/>
      <c r="L62" s="22"/>
      <c r="IJ62" s="20"/>
      <c r="IK62" s="20"/>
      <c r="IL62" s="20"/>
      <c r="IM62" s="20"/>
      <c r="IN62" s="20"/>
    </row>
    <row r="63" spans="1:248" s="18" customFormat="1" ht="18" customHeight="1">
      <c r="A63" s="30" t="s">
        <v>16</v>
      </c>
      <c r="B63" s="123"/>
      <c r="C63" s="28">
        <f>D63+E63+F63+G63</f>
        <v>1439</v>
      </c>
      <c r="D63" s="28">
        <v>125</v>
      </c>
      <c r="E63" s="28">
        <v>0</v>
      </c>
      <c r="F63" s="28">
        <v>1314</v>
      </c>
      <c r="G63" s="29">
        <v>0</v>
      </c>
      <c r="J63" s="46"/>
      <c r="K63" s="22"/>
      <c r="L63" s="22"/>
      <c r="IJ63" s="20"/>
      <c r="IK63" s="20"/>
      <c r="IL63" s="20"/>
      <c r="IM63" s="20"/>
      <c r="IN63" s="20"/>
    </row>
    <row r="64" spans="1:248" s="18" customFormat="1" ht="16.5" customHeight="1">
      <c r="A64" s="30" t="s">
        <v>17</v>
      </c>
      <c r="B64" s="123"/>
      <c r="C64" s="28">
        <f>D64+E64+F64+G64</f>
        <v>0</v>
      </c>
      <c r="D64" s="28">
        <v>0</v>
      </c>
      <c r="E64" s="28">
        <v>0</v>
      </c>
      <c r="F64" s="28">
        <v>0</v>
      </c>
      <c r="G64" s="29">
        <v>0</v>
      </c>
      <c r="J64" s="46"/>
      <c r="K64" s="22"/>
      <c r="L64" s="22"/>
      <c r="IJ64" s="20"/>
      <c r="IK64" s="20"/>
      <c r="IL64" s="20"/>
      <c r="IM64" s="20"/>
      <c r="IN64" s="20"/>
    </row>
    <row r="65" spans="1:248" s="18" customFormat="1" ht="18" customHeight="1" hidden="1">
      <c r="A65" s="30"/>
      <c r="B65" s="21"/>
      <c r="C65" s="28"/>
      <c r="D65" s="28"/>
      <c r="E65" s="28"/>
      <c r="F65" s="28"/>
      <c r="G65" s="29"/>
      <c r="J65" s="46"/>
      <c r="K65" s="22"/>
      <c r="L65" s="22"/>
      <c r="IJ65" s="20"/>
      <c r="IK65" s="20"/>
      <c r="IL65" s="20"/>
      <c r="IM65" s="20"/>
      <c r="IN65" s="20"/>
    </row>
    <row r="66" spans="1:248" s="18" customFormat="1" ht="18" customHeight="1" hidden="1">
      <c r="A66" s="31"/>
      <c r="B66" s="21"/>
      <c r="C66" s="32">
        <f>C67+C68+C69+C70</f>
        <v>1693</v>
      </c>
      <c r="D66" s="32">
        <f>D67+D68+D69+D70</f>
        <v>147</v>
      </c>
      <c r="E66" s="32">
        <v>0</v>
      </c>
      <c r="F66" s="32">
        <f>F67+F68+F69+F70</f>
        <v>1546</v>
      </c>
      <c r="G66" s="33">
        <f>G67+G68+G69+G70</f>
        <v>0</v>
      </c>
      <c r="J66" s="46"/>
      <c r="K66" s="22"/>
      <c r="L66" s="22"/>
      <c r="IJ66" s="20"/>
      <c r="IK66" s="20"/>
      <c r="IL66" s="20"/>
      <c r="IM66" s="20"/>
      <c r="IN66" s="20"/>
    </row>
    <row r="67" spans="1:248" s="18" customFormat="1" ht="18" customHeight="1" hidden="1">
      <c r="A67" s="30" t="s">
        <v>18</v>
      </c>
      <c r="B67" s="21"/>
      <c r="C67" s="42">
        <f>D67+E67+F67+G67</f>
        <v>220</v>
      </c>
      <c r="D67" s="28">
        <v>19</v>
      </c>
      <c r="E67" s="28">
        <v>0</v>
      </c>
      <c r="F67" s="28">
        <v>201</v>
      </c>
      <c r="G67" s="29">
        <v>0</v>
      </c>
      <c r="J67" s="46"/>
      <c r="K67" s="22"/>
      <c r="L67" s="22"/>
      <c r="IJ67" s="20"/>
      <c r="IK67" s="20"/>
      <c r="IL67" s="20"/>
      <c r="IM67" s="20"/>
      <c r="IN67" s="20"/>
    </row>
    <row r="68" spans="1:248" s="18" customFormat="1" ht="18" customHeight="1" hidden="1">
      <c r="A68" s="30" t="s">
        <v>19</v>
      </c>
      <c r="B68" s="21"/>
      <c r="C68" s="42">
        <f>D68+E68+F68+G68</f>
        <v>1439</v>
      </c>
      <c r="D68" s="28">
        <v>125</v>
      </c>
      <c r="E68" s="28">
        <v>0</v>
      </c>
      <c r="F68" s="28">
        <v>1314</v>
      </c>
      <c r="G68" s="29">
        <v>0</v>
      </c>
      <c r="J68" s="46"/>
      <c r="K68" s="22"/>
      <c r="L68" s="22"/>
      <c r="IJ68" s="20"/>
      <c r="IK68" s="20"/>
      <c r="IL68" s="20"/>
      <c r="IM68" s="20"/>
      <c r="IN68" s="20"/>
    </row>
    <row r="69" spans="1:248" s="18" customFormat="1" ht="18" customHeight="1" hidden="1">
      <c r="A69" s="30" t="s">
        <v>20</v>
      </c>
      <c r="B69" s="21"/>
      <c r="C69" s="42">
        <f>D69+E69+F69+G69</f>
        <v>0</v>
      </c>
      <c r="D69" s="28">
        <v>0</v>
      </c>
      <c r="E69" s="28">
        <v>0</v>
      </c>
      <c r="F69" s="28">
        <v>0</v>
      </c>
      <c r="G69" s="29">
        <v>0</v>
      </c>
      <c r="J69" s="46"/>
      <c r="K69" s="22"/>
      <c r="L69" s="22"/>
      <c r="IJ69" s="20"/>
      <c r="IK69" s="20"/>
      <c r="IL69" s="20"/>
      <c r="IM69" s="20"/>
      <c r="IN69" s="20"/>
    </row>
    <row r="70" spans="1:248" s="18" customFormat="1" ht="15.75" customHeight="1" hidden="1">
      <c r="A70" s="35" t="s">
        <v>21</v>
      </c>
      <c r="B70" s="21"/>
      <c r="C70" s="49">
        <f>D70+E70+F70+G70</f>
        <v>34</v>
      </c>
      <c r="D70" s="28">
        <v>3</v>
      </c>
      <c r="E70" s="28">
        <v>0</v>
      </c>
      <c r="F70" s="28">
        <v>31</v>
      </c>
      <c r="G70" s="29">
        <v>0</v>
      </c>
      <c r="J70" s="46"/>
      <c r="K70" s="22"/>
      <c r="L70" s="22"/>
      <c r="IJ70" s="20"/>
      <c r="IK70" s="20"/>
      <c r="IL70" s="20"/>
      <c r="IM70" s="20"/>
      <c r="IN70" s="20"/>
    </row>
    <row r="71" spans="1:248" s="18" customFormat="1" ht="31.5" customHeight="1">
      <c r="A71" s="21" t="s">
        <v>13</v>
      </c>
      <c r="B71" s="47" t="s">
        <v>27</v>
      </c>
      <c r="C71" s="32">
        <f>C72+C73+C74</f>
        <v>3802</v>
      </c>
      <c r="D71" s="24">
        <f>D72+D73++D74</f>
        <v>159</v>
      </c>
      <c r="E71" s="24">
        <v>0</v>
      </c>
      <c r="F71" s="24">
        <f>F72+F73++F74</f>
        <v>1683</v>
      </c>
      <c r="G71" s="24">
        <f>G72+G73++G74</f>
        <v>1960</v>
      </c>
      <c r="J71" s="46"/>
      <c r="K71" s="22"/>
      <c r="L71" s="22"/>
      <c r="IJ71" s="20"/>
      <c r="IK71" s="20"/>
      <c r="IL71" s="20"/>
      <c r="IM71" s="20"/>
      <c r="IN71" s="20"/>
    </row>
    <row r="72" spans="1:248" s="18" customFormat="1" ht="18" customHeight="1">
      <c r="A72" s="26" t="s">
        <v>15</v>
      </c>
      <c r="B72" s="123"/>
      <c r="C72" s="28">
        <f>D72+E72+F72+G72</f>
        <v>571</v>
      </c>
      <c r="D72" s="28">
        <v>24</v>
      </c>
      <c r="E72" s="28">
        <v>0</v>
      </c>
      <c r="F72" s="28">
        <v>253</v>
      </c>
      <c r="G72" s="29">
        <v>294</v>
      </c>
      <c r="J72" s="46"/>
      <c r="K72" s="22"/>
      <c r="L72" s="22"/>
      <c r="IJ72" s="20"/>
      <c r="IK72" s="20"/>
      <c r="IL72" s="20"/>
      <c r="IM72" s="20"/>
      <c r="IN72" s="20"/>
    </row>
    <row r="73" spans="1:248" s="18" customFormat="1" ht="15.75" customHeight="1">
      <c r="A73" s="30" t="s">
        <v>16</v>
      </c>
      <c r="B73" s="123"/>
      <c r="C73" s="28">
        <f>D73+E73+F73+G73</f>
        <v>3231</v>
      </c>
      <c r="D73" s="28">
        <v>135</v>
      </c>
      <c r="E73" s="28">
        <v>0</v>
      </c>
      <c r="F73" s="28">
        <v>1430</v>
      </c>
      <c r="G73" s="29">
        <v>1666</v>
      </c>
      <c r="J73" s="46"/>
      <c r="K73" s="22"/>
      <c r="L73" s="22"/>
      <c r="IJ73" s="20"/>
      <c r="IK73" s="20"/>
      <c r="IL73" s="20"/>
      <c r="IM73" s="20"/>
      <c r="IN73" s="20"/>
    </row>
    <row r="74" spans="1:248" s="18" customFormat="1" ht="16.5" customHeight="1">
      <c r="A74" s="30" t="s">
        <v>17</v>
      </c>
      <c r="B74" s="123"/>
      <c r="C74" s="28">
        <f>D74+E74+F74+G74</f>
        <v>0</v>
      </c>
      <c r="D74" s="28">
        <v>0</v>
      </c>
      <c r="E74" s="28">
        <v>0</v>
      </c>
      <c r="F74" s="28">
        <v>0</v>
      </c>
      <c r="G74" s="29">
        <v>0</v>
      </c>
      <c r="J74" s="46"/>
      <c r="K74" s="22"/>
      <c r="L74" s="22"/>
      <c r="IJ74" s="20"/>
      <c r="IK74" s="20"/>
      <c r="IL74" s="20"/>
      <c r="IM74" s="20"/>
      <c r="IN74" s="20"/>
    </row>
    <row r="75" spans="1:248" s="18" customFormat="1" ht="18" customHeight="1" hidden="1">
      <c r="A75" s="30"/>
      <c r="B75" s="21"/>
      <c r="C75" s="28"/>
      <c r="D75" s="28"/>
      <c r="E75" s="28"/>
      <c r="F75" s="28"/>
      <c r="G75" s="29"/>
      <c r="J75" s="46"/>
      <c r="K75" s="22"/>
      <c r="L75" s="22"/>
      <c r="IJ75" s="20"/>
      <c r="IK75" s="20"/>
      <c r="IL75" s="20"/>
      <c r="IM75" s="20"/>
      <c r="IN75" s="20"/>
    </row>
    <row r="76" spans="1:248" s="18" customFormat="1" ht="18" customHeight="1" hidden="1">
      <c r="A76" s="31"/>
      <c r="B76" s="21"/>
      <c r="C76" s="32">
        <f>C77+C78+C79+C80</f>
        <v>3802</v>
      </c>
      <c r="D76" s="32">
        <f>D77+D78+D79+D80</f>
        <v>159</v>
      </c>
      <c r="E76" s="32">
        <v>0</v>
      </c>
      <c r="F76" s="32">
        <f>F77+F78+F79+F80</f>
        <v>1683</v>
      </c>
      <c r="G76" s="32">
        <f>G77+G78+G79+G80</f>
        <v>1960</v>
      </c>
      <c r="J76" s="46"/>
      <c r="K76" s="22"/>
      <c r="L76" s="22"/>
      <c r="IJ76" s="20"/>
      <c r="IK76" s="20"/>
      <c r="IL76" s="20"/>
      <c r="IM76" s="20"/>
      <c r="IN76" s="20"/>
    </row>
    <row r="77" spans="1:248" s="18" customFormat="1" ht="18" customHeight="1" hidden="1">
      <c r="A77" s="30" t="s">
        <v>18</v>
      </c>
      <c r="B77" s="21"/>
      <c r="C77" s="42">
        <f>D77+E77+F77+G77</f>
        <v>495</v>
      </c>
      <c r="D77" s="28">
        <v>21</v>
      </c>
      <c r="E77" s="28">
        <v>0</v>
      </c>
      <c r="F77" s="28">
        <v>219</v>
      </c>
      <c r="G77" s="29">
        <v>255</v>
      </c>
      <c r="J77" s="46"/>
      <c r="K77" s="22"/>
      <c r="L77" s="22"/>
      <c r="IJ77" s="20"/>
      <c r="IK77" s="20"/>
      <c r="IL77" s="20"/>
      <c r="IM77" s="20"/>
      <c r="IN77" s="20"/>
    </row>
    <row r="78" spans="1:248" s="18" customFormat="1" ht="18" customHeight="1" hidden="1">
      <c r="A78" s="30" t="s">
        <v>19</v>
      </c>
      <c r="B78" s="21"/>
      <c r="C78" s="42">
        <f>D78+E78+F78+G78</f>
        <v>3231</v>
      </c>
      <c r="D78" s="28">
        <v>135</v>
      </c>
      <c r="E78" s="28">
        <v>0</v>
      </c>
      <c r="F78" s="28">
        <v>1430</v>
      </c>
      <c r="G78" s="29">
        <v>1666</v>
      </c>
      <c r="J78" s="46"/>
      <c r="K78" s="22"/>
      <c r="L78" s="22"/>
      <c r="IJ78" s="20"/>
      <c r="IK78" s="20"/>
      <c r="IL78" s="20"/>
      <c r="IM78" s="20"/>
      <c r="IN78" s="20"/>
    </row>
    <row r="79" spans="1:248" s="18" customFormat="1" ht="18" customHeight="1" hidden="1">
      <c r="A79" s="30" t="s">
        <v>20</v>
      </c>
      <c r="B79" s="21"/>
      <c r="C79" s="42">
        <v>0</v>
      </c>
      <c r="D79" s="28">
        <v>0</v>
      </c>
      <c r="E79" s="28">
        <v>0</v>
      </c>
      <c r="F79" s="28">
        <v>0</v>
      </c>
      <c r="G79" s="29">
        <v>0</v>
      </c>
      <c r="J79" s="46"/>
      <c r="K79" s="22"/>
      <c r="L79" s="22"/>
      <c r="IJ79" s="20"/>
      <c r="IK79" s="20"/>
      <c r="IL79" s="20"/>
      <c r="IM79" s="20"/>
      <c r="IN79" s="20"/>
    </row>
    <row r="80" spans="1:248" s="18" customFormat="1" ht="14.25" hidden="1">
      <c r="A80" s="35" t="s">
        <v>21</v>
      </c>
      <c r="B80" s="21"/>
      <c r="C80" s="51">
        <f>D80+E80+F80+G80</f>
        <v>76</v>
      </c>
      <c r="D80" s="28">
        <v>3</v>
      </c>
      <c r="E80" s="28">
        <v>0</v>
      </c>
      <c r="F80" s="28">
        <v>34</v>
      </c>
      <c r="G80" s="29">
        <v>39</v>
      </c>
      <c r="J80" s="46"/>
      <c r="K80" s="22"/>
      <c r="L80" s="22"/>
      <c r="IJ80" s="20"/>
      <c r="IK80" s="20"/>
      <c r="IL80" s="20"/>
      <c r="IM80" s="20"/>
      <c r="IN80" s="20"/>
    </row>
    <row r="81" spans="1:248" s="54" customFormat="1" ht="31.5" customHeight="1">
      <c r="A81" s="52" t="s">
        <v>28</v>
      </c>
      <c r="B81" s="21" t="s">
        <v>29</v>
      </c>
      <c r="C81" s="23">
        <f>D81+E81+F81+G81</f>
        <v>5642</v>
      </c>
      <c r="D81" s="23">
        <f>D82+D83+D84</f>
        <v>1487</v>
      </c>
      <c r="E81" s="23">
        <f>E82+E83+E84</f>
        <v>1780</v>
      </c>
      <c r="F81" s="23">
        <f>F82+F83+F84</f>
        <v>1385</v>
      </c>
      <c r="G81" s="23">
        <f>G82+G83+G84</f>
        <v>990</v>
      </c>
      <c r="H81" s="53"/>
      <c r="I81" s="53">
        <f>I82+I84</f>
        <v>2009</v>
      </c>
      <c r="J81" s="53">
        <f>J82+J84</f>
        <v>0</v>
      </c>
      <c r="K81" s="53">
        <f>K82+K84</f>
        <v>8</v>
      </c>
      <c r="L81" s="53">
        <f>L82+L84</f>
        <v>0</v>
      </c>
      <c r="M81" s="53">
        <f>M82+M84</f>
        <v>2001</v>
      </c>
      <c r="IJ81" s="55"/>
      <c r="IK81" s="55"/>
      <c r="IL81" s="55"/>
      <c r="IM81" s="55"/>
      <c r="IN81" s="55"/>
    </row>
    <row r="82" spans="1:248" s="54" customFormat="1" ht="16.5" customHeight="1">
      <c r="A82" s="26" t="s">
        <v>15</v>
      </c>
      <c r="B82" s="124"/>
      <c r="C82" s="56">
        <f>(D82+E82+F82+G82)</f>
        <v>792</v>
      </c>
      <c r="D82" s="56">
        <v>223</v>
      </c>
      <c r="E82" s="56">
        <v>267</v>
      </c>
      <c r="F82" s="56">
        <v>161</v>
      </c>
      <c r="G82" s="56">
        <v>141</v>
      </c>
      <c r="H82" s="53"/>
      <c r="I82" s="125">
        <f>J82+K82+L82+M82</f>
        <v>2002</v>
      </c>
      <c r="J82" s="125"/>
      <c r="K82" s="125">
        <v>8</v>
      </c>
      <c r="L82" s="126">
        <v>0</v>
      </c>
      <c r="M82" s="126">
        <v>1994</v>
      </c>
      <c r="N82" s="4"/>
      <c r="IJ82" s="55"/>
      <c r="IK82" s="55"/>
      <c r="IL82" s="55"/>
      <c r="IM82" s="55"/>
      <c r="IN82" s="55"/>
    </row>
    <row r="83" spans="1:248" s="54" customFormat="1" ht="16.5" customHeight="1">
      <c r="A83" s="30" t="s">
        <v>16</v>
      </c>
      <c r="B83" s="124"/>
      <c r="C83" s="56">
        <f>D83+E83+F83+G83</f>
        <v>4756</v>
      </c>
      <c r="D83" s="56">
        <v>1264</v>
      </c>
      <c r="E83" s="56">
        <v>1513</v>
      </c>
      <c r="F83" s="56">
        <v>1177</v>
      </c>
      <c r="G83" s="56">
        <v>802</v>
      </c>
      <c r="H83" s="53"/>
      <c r="I83" s="125"/>
      <c r="J83" s="125"/>
      <c r="K83" s="125"/>
      <c r="L83" s="125"/>
      <c r="M83" s="126"/>
      <c r="IJ83" s="55"/>
      <c r="IK83" s="55"/>
      <c r="IL83" s="55"/>
      <c r="IM83" s="55"/>
      <c r="IN83" s="55"/>
    </row>
    <row r="84" spans="1:248" s="54" customFormat="1" ht="25.5" customHeight="1">
      <c r="A84" s="30" t="s">
        <v>17</v>
      </c>
      <c r="B84" s="124"/>
      <c r="C84" s="56">
        <f>D84+E84+F84+G84</f>
        <v>94</v>
      </c>
      <c r="D84" s="56">
        <f>J84</f>
        <v>0</v>
      </c>
      <c r="E84" s="56"/>
      <c r="F84" s="56">
        <v>47</v>
      </c>
      <c r="G84" s="56">
        <v>47</v>
      </c>
      <c r="H84" s="53"/>
      <c r="I84" s="53">
        <f>J84+K84+L84+M84</f>
        <v>7</v>
      </c>
      <c r="J84" s="53"/>
      <c r="K84" s="53"/>
      <c r="L84" s="53">
        <v>0</v>
      </c>
      <c r="M84" s="54">
        <v>7</v>
      </c>
      <c r="IJ84" s="55"/>
      <c r="IK84" s="55"/>
      <c r="IL84" s="55"/>
      <c r="IM84" s="55"/>
      <c r="IN84" s="55"/>
    </row>
    <row r="85" spans="1:248" s="54" customFormat="1" ht="16.5" customHeight="1" hidden="1">
      <c r="A85" s="30"/>
      <c r="B85" s="41"/>
      <c r="C85" s="56"/>
      <c r="D85" s="56"/>
      <c r="E85" s="56"/>
      <c r="F85" s="56"/>
      <c r="G85" s="56"/>
      <c r="H85" s="53"/>
      <c r="I85" s="53"/>
      <c r="J85" s="57"/>
      <c r="K85" s="58"/>
      <c r="L85" s="58"/>
      <c r="IJ85" s="55"/>
      <c r="IK85" s="55"/>
      <c r="IL85" s="55"/>
      <c r="IM85" s="55"/>
      <c r="IN85" s="55"/>
    </row>
    <row r="86" spans="1:248" s="63" customFormat="1" ht="16.5" customHeight="1" hidden="1">
      <c r="A86" s="31"/>
      <c r="B86" s="47"/>
      <c r="C86" s="59">
        <f>C87+C88+C89+C91+C90</f>
        <v>5642</v>
      </c>
      <c r="D86" s="59">
        <f>D87+D88+D89+D91+D90</f>
        <v>1487</v>
      </c>
      <c r="E86" s="59">
        <f>E87+E88+E89+E91+E90</f>
        <v>1780</v>
      </c>
      <c r="F86" s="59">
        <f>F87+F88+F89+F91+F90</f>
        <v>1385</v>
      </c>
      <c r="G86" s="59">
        <f>G87+G88+G89+G91+G90</f>
        <v>990</v>
      </c>
      <c r="H86" s="60"/>
      <c r="I86" s="60"/>
      <c r="J86" s="61"/>
      <c r="K86" s="62"/>
      <c r="L86" s="62"/>
      <c r="IJ86" s="64"/>
      <c r="IK86" s="64"/>
      <c r="IL86" s="64"/>
      <c r="IM86" s="64"/>
      <c r="IN86" s="64"/>
    </row>
    <row r="87" spans="1:248" s="54" customFormat="1" ht="16.5" customHeight="1" hidden="1">
      <c r="A87" s="30" t="s">
        <v>18</v>
      </c>
      <c r="B87" s="41"/>
      <c r="C87" s="65">
        <f aca="true" t="shared" si="0" ref="C87:C95">D87+E87+F87+G87</f>
        <v>786</v>
      </c>
      <c r="D87" s="65">
        <v>219</v>
      </c>
      <c r="E87" s="65">
        <v>231</v>
      </c>
      <c r="F87" s="65">
        <v>197</v>
      </c>
      <c r="G87" s="65">
        <v>139</v>
      </c>
      <c r="H87" s="53"/>
      <c r="I87" s="53"/>
      <c r="J87" s="57"/>
      <c r="K87" s="58"/>
      <c r="L87" s="58"/>
      <c r="IJ87" s="55"/>
      <c r="IK87" s="55"/>
      <c r="IL87" s="55"/>
      <c r="IM87" s="55"/>
      <c r="IN87" s="55"/>
    </row>
    <row r="88" spans="1:248" s="54" customFormat="1" ht="16.5" customHeight="1" hidden="1">
      <c r="A88" s="30" t="s">
        <v>19</v>
      </c>
      <c r="B88" s="41"/>
      <c r="C88" s="65">
        <f t="shared" si="0"/>
        <v>4650</v>
      </c>
      <c r="D88" s="65">
        <v>1238</v>
      </c>
      <c r="E88" s="65">
        <v>1513</v>
      </c>
      <c r="F88" s="65">
        <v>1114</v>
      </c>
      <c r="G88" s="65">
        <v>785</v>
      </c>
      <c r="H88" s="53"/>
      <c r="I88" s="53"/>
      <c r="J88" s="57"/>
      <c r="K88" s="58"/>
      <c r="L88" s="58"/>
      <c r="IJ88" s="55"/>
      <c r="IK88" s="55"/>
      <c r="IL88" s="55"/>
      <c r="IM88" s="55"/>
      <c r="IN88" s="55"/>
    </row>
    <row r="89" spans="1:248" s="54" customFormat="1" ht="16.5" customHeight="1" hidden="1">
      <c r="A89" s="30" t="s">
        <v>20</v>
      </c>
      <c r="B89" s="41"/>
      <c r="C89" s="65">
        <f t="shared" si="0"/>
        <v>0</v>
      </c>
      <c r="D89" s="65"/>
      <c r="E89" s="65"/>
      <c r="F89" s="65"/>
      <c r="G89" s="65"/>
      <c r="H89" s="53"/>
      <c r="I89" s="53"/>
      <c r="J89" s="57"/>
      <c r="K89" s="58"/>
      <c r="L89" s="58"/>
      <c r="IJ89" s="55"/>
      <c r="IK89" s="55"/>
      <c r="IL89" s="55"/>
      <c r="IM89" s="55"/>
      <c r="IN89" s="55"/>
    </row>
    <row r="90" spans="1:248" s="54" customFormat="1" ht="16.5" customHeight="1" hidden="1">
      <c r="A90" s="30" t="s">
        <v>30</v>
      </c>
      <c r="B90" s="41"/>
      <c r="C90" s="65">
        <f t="shared" si="0"/>
        <v>0</v>
      </c>
      <c r="D90" s="65"/>
      <c r="E90" s="65"/>
      <c r="F90" s="65"/>
      <c r="G90" s="65"/>
      <c r="H90" s="53"/>
      <c r="I90" s="53"/>
      <c r="J90" s="57"/>
      <c r="K90" s="58"/>
      <c r="L90" s="58"/>
      <c r="IJ90" s="55"/>
      <c r="IK90" s="55"/>
      <c r="IL90" s="55"/>
      <c r="IM90" s="55"/>
      <c r="IN90" s="55"/>
    </row>
    <row r="91" spans="1:248" s="68" customFormat="1" ht="14.25" hidden="1">
      <c r="A91" s="35" t="s">
        <v>21</v>
      </c>
      <c r="B91" s="66"/>
      <c r="C91" s="67">
        <f t="shared" si="0"/>
        <v>206</v>
      </c>
      <c r="D91" s="65">
        <v>30</v>
      </c>
      <c r="E91" s="65">
        <v>36</v>
      </c>
      <c r="F91" s="65">
        <f>47+27</f>
        <v>74</v>
      </c>
      <c r="G91" s="65">
        <f>47+19</f>
        <v>66</v>
      </c>
      <c r="H91" s="57"/>
      <c r="I91" s="57"/>
      <c r="J91" s="57"/>
      <c r="K91" s="57"/>
      <c r="L91" s="57"/>
      <c r="IJ91" s="69"/>
      <c r="IK91" s="69"/>
      <c r="IL91" s="69"/>
      <c r="IM91" s="69"/>
      <c r="IN91" s="69"/>
    </row>
    <row r="92" spans="1:248" s="54" customFormat="1" ht="46.5" customHeight="1">
      <c r="A92" s="52" t="s">
        <v>28</v>
      </c>
      <c r="B92" s="21" t="s">
        <v>31</v>
      </c>
      <c r="C92" s="23">
        <f t="shared" si="0"/>
        <v>1832</v>
      </c>
      <c r="D92" s="23">
        <f>D93+D94+D95</f>
        <v>10</v>
      </c>
      <c r="E92" s="23">
        <f>E93+E94+E95</f>
        <v>1095</v>
      </c>
      <c r="F92" s="23">
        <f>F93+F94+F95</f>
        <v>365</v>
      </c>
      <c r="G92" s="23">
        <f>G93+G94+G95</f>
        <v>362</v>
      </c>
      <c r="H92" s="70"/>
      <c r="I92" s="70">
        <f>I93+I95</f>
        <v>653</v>
      </c>
      <c r="J92" s="70">
        <f>J93+J95</f>
        <v>0</v>
      </c>
      <c r="K92" s="70">
        <f>K93+K95</f>
        <v>8</v>
      </c>
      <c r="L92" s="70">
        <f>L93+L95</f>
        <v>0</v>
      </c>
      <c r="M92" s="70">
        <f>M93+M95</f>
        <v>645</v>
      </c>
      <c r="IJ92" s="55"/>
      <c r="IK92" s="55"/>
      <c r="IL92" s="55"/>
      <c r="IM92" s="55"/>
      <c r="IN92" s="55"/>
    </row>
    <row r="93" spans="1:248" s="54" customFormat="1" ht="16.5" customHeight="1">
      <c r="A93" s="26" t="s">
        <v>15</v>
      </c>
      <c r="B93" s="123"/>
      <c r="C93" s="56">
        <f t="shared" si="0"/>
        <v>273</v>
      </c>
      <c r="D93" s="65">
        <v>2</v>
      </c>
      <c r="E93" s="56">
        <v>164</v>
      </c>
      <c r="F93" s="56">
        <v>54</v>
      </c>
      <c r="G93" s="56">
        <v>53</v>
      </c>
      <c r="H93" s="70"/>
      <c r="I93" s="127">
        <f>J93+K93+M93+L93</f>
        <v>651</v>
      </c>
      <c r="J93" s="127"/>
      <c r="K93" s="127">
        <v>8</v>
      </c>
      <c r="L93" s="128">
        <v>0</v>
      </c>
      <c r="M93" s="128">
        <v>643</v>
      </c>
      <c r="IJ93" s="55"/>
      <c r="IK93" s="55"/>
      <c r="IL93" s="55"/>
      <c r="IM93" s="55"/>
      <c r="IN93" s="55"/>
    </row>
    <row r="94" spans="1:248" s="54" customFormat="1" ht="16.5" customHeight="1">
      <c r="A94" s="30" t="s">
        <v>16</v>
      </c>
      <c r="B94" s="123"/>
      <c r="C94" s="56">
        <f t="shared" si="0"/>
        <v>1549</v>
      </c>
      <c r="D94" s="65">
        <v>7</v>
      </c>
      <c r="E94" s="56">
        <v>929</v>
      </c>
      <c r="F94" s="65">
        <v>307</v>
      </c>
      <c r="G94" s="56">
        <v>306</v>
      </c>
      <c r="H94" s="70"/>
      <c r="I94" s="127"/>
      <c r="J94" s="127"/>
      <c r="K94" s="127"/>
      <c r="L94" s="127"/>
      <c r="M94" s="128"/>
      <c r="IJ94" s="55"/>
      <c r="IK94" s="55"/>
      <c r="IL94" s="55"/>
      <c r="IM94" s="55"/>
      <c r="IN94" s="55"/>
    </row>
    <row r="95" spans="1:248" s="54" customFormat="1" ht="16.5" customHeight="1">
      <c r="A95" s="30" t="s">
        <v>17</v>
      </c>
      <c r="B95" s="123"/>
      <c r="C95" s="56">
        <f t="shared" si="0"/>
        <v>10</v>
      </c>
      <c r="D95" s="56">
        <v>1</v>
      </c>
      <c r="E95" s="56">
        <v>2</v>
      </c>
      <c r="F95" s="56">
        <v>4</v>
      </c>
      <c r="G95" s="56">
        <v>3</v>
      </c>
      <c r="H95" s="70"/>
      <c r="I95" s="70">
        <f>J95+K95+L95+M95</f>
        <v>2</v>
      </c>
      <c r="J95" s="70"/>
      <c r="K95" s="70"/>
      <c r="L95" s="70">
        <v>0</v>
      </c>
      <c r="M95" s="71">
        <v>2</v>
      </c>
      <c r="IJ95" s="55"/>
      <c r="IK95" s="55"/>
      <c r="IL95" s="55"/>
      <c r="IM95" s="55"/>
      <c r="IN95" s="55"/>
    </row>
    <row r="96" spans="1:248" s="54" customFormat="1" ht="16.5" customHeight="1" hidden="1">
      <c r="A96" s="30"/>
      <c r="B96" s="41"/>
      <c r="C96" s="56"/>
      <c r="D96" s="56"/>
      <c r="E96" s="56"/>
      <c r="F96" s="56"/>
      <c r="G96" s="56"/>
      <c r="H96" s="70"/>
      <c r="I96" s="70"/>
      <c r="J96" s="72"/>
      <c r="K96" s="73"/>
      <c r="L96" s="73"/>
      <c r="M96" s="71"/>
      <c r="IJ96" s="55"/>
      <c r="IK96" s="55"/>
      <c r="IL96" s="55"/>
      <c r="IM96" s="55"/>
      <c r="IN96" s="55"/>
    </row>
    <row r="97" spans="1:248" s="63" customFormat="1" ht="16.5" customHeight="1" hidden="1">
      <c r="A97" s="31"/>
      <c r="B97" s="47"/>
      <c r="C97" s="74">
        <f>C98+C99+C100+C102+C101</f>
        <v>1832.1</v>
      </c>
      <c r="D97" s="59">
        <f>D98+D99+D100+D102+D101</f>
        <v>10</v>
      </c>
      <c r="E97" s="59">
        <f>E98+E99+E100+E102+E101</f>
        <v>1095</v>
      </c>
      <c r="F97" s="59">
        <f>F98+F99+F100+F102+F101</f>
        <v>365</v>
      </c>
      <c r="G97" s="59">
        <f>G98+G99+G100+G102+G101</f>
        <v>362</v>
      </c>
      <c r="H97" s="75"/>
      <c r="I97" s="75"/>
      <c r="J97" s="76"/>
      <c r="K97" s="77"/>
      <c r="L97" s="77"/>
      <c r="M97" s="78"/>
      <c r="IJ97" s="64"/>
      <c r="IK97" s="64"/>
      <c r="IL97" s="64"/>
      <c r="IM97" s="64"/>
      <c r="IN97" s="64"/>
    </row>
    <row r="98" spans="1:248" s="54" customFormat="1" ht="16.5" customHeight="1" hidden="1">
      <c r="A98" s="30" t="s">
        <v>18</v>
      </c>
      <c r="B98" s="41"/>
      <c r="C98" s="56">
        <f>D98+E98+F98+G98</f>
        <v>237</v>
      </c>
      <c r="D98" s="65">
        <v>1</v>
      </c>
      <c r="E98" s="65">
        <v>142</v>
      </c>
      <c r="F98" s="65">
        <v>47</v>
      </c>
      <c r="G98" s="65">
        <v>47</v>
      </c>
      <c r="H98" s="70"/>
      <c r="I98" s="70"/>
      <c r="J98" s="72"/>
      <c r="K98" s="73"/>
      <c r="L98" s="73"/>
      <c r="M98" s="71"/>
      <c r="IJ98" s="55"/>
      <c r="IK98" s="55"/>
      <c r="IL98" s="55"/>
      <c r="IM98" s="55"/>
      <c r="IN98" s="55"/>
    </row>
    <row r="99" spans="1:248" s="54" customFormat="1" ht="16.5" customHeight="1" hidden="1">
      <c r="A99" s="30" t="s">
        <v>19</v>
      </c>
      <c r="B99" s="41"/>
      <c r="C99" s="65">
        <f>D99+E99+F99+G99+0.1</f>
        <v>1549.1</v>
      </c>
      <c r="D99" s="65">
        <v>8</v>
      </c>
      <c r="E99" s="65">
        <v>929</v>
      </c>
      <c r="F99" s="65">
        <v>307</v>
      </c>
      <c r="G99" s="65">
        <v>305</v>
      </c>
      <c r="H99" s="70"/>
      <c r="I99" s="70"/>
      <c r="J99" s="72"/>
      <c r="K99" s="73"/>
      <c r="L99" s="73"/>
      <c r="M99" s="71"/>
      <c r="IJ99" s="55"/>
      <c r="IK99" s="55"/>
      <c r="IL99" s="55"/>
      <c r="IM99" s="55"/>
      <c r="IN99" s="55"/>
    </row>
    <row r="100" spans="1:248" s="54" customFormat="1" ht="16.5" customHeight="1" hidden="1">
      <c r="A100" s="30" t="s">
        <v>20</v>
      </c>
      <c r="B100" s="41" t="s">
        <v>32</v>
      </c>
      <c r="C100" s="65">
        <f>D100+E100+F100+G100</f>
        <v>0</v>
      </c>
      <c r="D100" s="65">
        <v>0</v>
      </c>
      <c r="E100" s="65">
        <v>0</v>
      </c>
      <c r="F100" s="65">
        <v>0</v>
      </c>
      <c r="G100" s="65">
        <v>0</v>
      </c>
      <c r="H100" s="70"/>
      <c r="I100" s="70"/>
      <c r="J100" s="72"/>
      <c r="K100" s="73"/>
      <c r="L100" s="73"/>
      <c r="M100" s="71"/>
      <c r="IJ100" s="55"/>
      <c r="IK100" s="55"/>
      <c r="IL100" s="55"/>
      <c r="IM100" s="55"/>
      <c r="IN100" s="55"/>
    </row>
    <row r="101" spans="1:248" s="54" customFormat="1" ht="16.5" customHeight="1" hidden="1">
      <c r="A101" s="30" t="s">
        <v>30</v>
      </c>
      <c r="B101" s="41" t="s">
        <v>32</v>
      </c>
      <c r="C101" s="65">
        <f>D101+E101+F101+G101</f>
        <v>0</v>
      </c>
      <c r="D101" s="65">
        <v>0</v>
      </c>
      <c r="E101" s="65">
        <v>0</v>
      </c>
      <c r="F101" s="65">
        <v>0</v>
      </c>
      <c r="G101" s="65">
        <v>0</v>
      </c>
      <c r="H101" s="70"/>
      <c r="I101" s="70"/>
      <c r="J101" s="72"/>
      <c r="K101" s="73"/>
      <c r="L101" s="73"/>
      <c r="M101" s="71"/>
      <c r="IJ101" s="55"/>
      <c r="IK101" s="55"/>
      <c r="IL101" s="55"/>
      <c r="IM101" s="55"/>
      <c r="IN101" s="55"/>
    </row>
    <row r="102" spans="1:248" s="68" customFormat="1" ht="32.25" customHeight="1" hidden="1">
      <c r="A102" s="35" t="s">
        <v>21</v>
      </c>
      <c r="B102" s="66"/>
      <c r="C102" s="67">
        <f>D102+E102+F102+G102</f>
        <v>46</v>
      </c>
      <c r="D102" s="65">
        <v>1</v>
      </c>
      <c r="E102" s="65">
        <v>24</v>
      </c>
      <c r="F102" s="65">
        <v>11</v>
      </c>
      <c r="G102" s="65">
        <v>10</v>
      </c>
      <c r="H102" s="72"/>
      <c r="I102" s="72"/>
      <c r="J102" s="72"/>
      <c r="K102" s="72"/>
      <c r="L102" s="72"/>
      <c r="M102" s="79"/>
      <c r="IJ102" s="69"/>
      <c r="IK102" s="69"/>
      <c r="IL102" s="69"/>
      <c r="IM102" s="69"/>
      <c r="IN102" s="69"/>
    </row>
    <row r="103" spans="1:248" s="68" customFormat="1" ht="16.5" customHeight="1">
      <c r="A103" s="80" t="s">
        <v>33</v>
      </c>
      <c r="B103" s="81" t="s">
        <v>34</v>
      </c>
      <c r="C103" s="82">
        <f>C104+C105+C106</f>
        <v>24168</v>
      </c>
      <c r="D103" s="82">
        <f>D104+D105+D106</f>
        <v>16</v>
      </c>
      <c r="E103" s="82">
        <f>E104+E105+E106</f>
        <v>16</v>
      </c>
      <c r="F103" s="82">
        <f>F104+F105+F106</f>
        <v>12068</v>
      </c>
      <c r="G103" s="82">
        <f>G104+G105+G106</f>
        <v>12068</v>
      </c>
      <c r="H103" s="72"/>
      <c r="I103" s="72"/>
      <c r="J103" s="72"/>
      <c r="K103" s="72"/>
      <c r="L103" s="72"/>
      <c r="M103" s="79"/>
      <c r="IJ103" s="69"/>
      <c r="IK103" s="69"/>
      <c r="IL103" s="69"/>
      <c r="IM103" s="69"/>
      <c r="IN103" s="69"/>
    </row>
    <row r="104" spans="1:248" s="68" customFormat="1" ht="16.5" customHeight="1">
      <c r="A104" s="26" t="s">
        <v>15</v>
      </c>
      <c r="B104" s="129"/>
      <c r="C104" s="65">
        <f>D104+E104+F104+G104</f>
        <v>3626</v>
      </c>
      <c r="D104" s="65">
        <v>3</v>
      </c>
      <c r="E104" s="65">
        <v>3</v>
      </c>
      <c r="F104" s="65">
        <v>1810</v>
      </c>
      <c r="G104" s="65">
        <v>1810</v>
      </c>
      <c r="H104" s="72"/>
      <c r="I104" s="72"/>
      <c r="J104" s="72"/>
      <c r="K104" s="72"/>
      <c r="L104" s="72"/>
      <c r="M104" s="79"/>
      <c r="IJ104" s="69"/>
      <c r="IK104" s="69"/>
      <c r="IL104" s="69"/>
      <c r="IM104" s="69"/>
      <c r="IN104" s="69"/>
    </row>
    <row r="105" spans="1:248" s="68" customFormat="1" ht="16.5" customHeight="1">
      <c r="A105" s="30" t="s">
        <v>16</v>
      </c>
      <c r="B105" s="129"/>
      <c r="C105" s="65">
        <f>D105+E105+F105+G105</f>
        <v>20542</v>
      </c>
      <c r="D105" s="65">
        <v>13</v>
      </c>
      <c r="E105" s="65">
        <v>13</v>
      </c>
      <c r="F105" s="65">
        <v>10258</v>
      </c>
      <c r="G105" s="65">
        <v>10258</v>
      </c>
      <c r="H105" s="72"/>
      <c r="I105" s="72"/>
      <c r="J105" s="72"/>
      <c r="K105" s="72"/>
      <c r="L105" s="72"/>
      <c r="M105" s="79"/>
      <c r="IJ105" s="69"/>
      <c r="IK105" s="69"/>
      <c r="IL105" s="69"/>
      <c r="IM105" s="69"/>
      <c r="IN105" s="69"/>
    </row>
    <row r="106" spans="1:248" s="68" customFormat="1" ht="16.5" customHeight="1">
      <c r="A106" s="30" t="s">
        <v>17</v>
      </c>
      <c r="B106" s="129"/>
      <c r="C106" s="65">
        <f>D106+E106+F106+G106</f>
        <v>0</v>
      </c>
      <c r="D106" s="65">
        <v>0</v>
      </c>
      <c r="E106" s="65">
        <v>0</v>
      </c>
      <c r="F106" s="65">
        <v>0</v>
      </c>
      <c r="G106" s="65">
        <v>0</v>
      </c>
      <c r="H106" s="72"/>
      <c r="I106" s="72"/>
      <c r="J106" s="72"/>
      <c r="K106" s="72"/>
      <c r="L106" s="72"/>
      <c r="M106" s="79"/>
      <c r="IJ106" s="69"/>
      <c r="IK106" s="69"/>
      <c r="IL106" s="69"/>
      <c r="IM106" s="69"/>
      <c r="IN106" s="69"/>
    </row>
    <row r="107" spans="1:248" s="68" customFormat="1" ht="16.5" customHeight="1" hidden="1">
      <c r="A107" s="35"/>
      <c r="B107" s="129"/>
      <c r="C107" s="65"/>
      <c r="D107" s="65"/>
      <c r="E107" s="65"/>
      <c r="F107" s="65"/>
      <c r="G107" s="65"/>
      <c r="H107" s="72"/>
      <c r="I107" s="72"/>
      <c r="J107" s="72"/>
      <c r="K107" s="72"/>
      <c r="L107" s="72"/>
      <c r="M107" s="79"/>
      <c r="IJ107" s="69"/>
      <c r="IK107" s="69"/>
      <c r="IL107" s="69"/>
      <c r="IM107" s="69"/>
      <c r="IN107" s="69"/>
    </row>
    <row r="108" spans="1:248" s="68" customFormat="1" ht="16.5" customHeight="1" hidden="1">
      <c r="A108" s="35"/>
      <c r="B108" s="66"/>
      <c r="C108" s="82">
        <f>C109+C110+C111+C112</f>
        <v>24168</v>
      </c>
      <c r="D108" s="82">
        <f>D109+D110+D111+D112</f>
        <v>16</v>
      </c>
      <c r="E108" s="82">
        <f>E109+E110+E111+E112</f>
        <v>16</v>
      </c>
      <c r="F108" s="82">
        <f>F109+F110+F111+F112</f>
        <v>12068</v>
      </c>
      <c r="G108" s="82">
        <f>G109+G110+G111+G112</f>
        <v>12068</v>
      </c>
      <c r="H108" s="72"/>
      <c r="I108" s="72"/>
      <c r="J108" s="72"/>
      <c r="K108" s="72"/>
      <c r="L108" s="72"/>
      <c r="M108" s="79"/>
      <c r="IJ108" s="69"/>
      <c r="IK108" s="69"/>
      <c r="IL108" s="69"/>
      <c r="IM108" s="69"/>
      <c r="IN108" s="69"/>
    </row>
    <row r="109" spans="1:248" s="68" customFormat="1" ht="16.5" customHeight="1" hidden="1">
      <c r="A109" s="35" t="s">
        <v>18</v>
      </c>
      <c r="B109" s="66"/>
      <c r="C109" s="65">
        <f aca="true" t="shared" si="1" ref="C109:C116">D109+E109+F109+G109</f>
        <v>3144</v>
      </c>
      <c r="D109" s="65">
        <v>3</v>
      </c>
      <c r="E109" s="65">
        <v>3</v>
      </c>
      <c r="F109" s="65">
        <v>1569</v>
      </c>
      <c r="G109" s="65">
        <v>1569</v>
      </c>
      <c r="H109" s="72"/>
      <c r="I109" s="72"/>
      <c r="J109" s="72"/>
      <c r="K109" s="72"/>
      <c r="L109" s="72"/>
      <c r="M109" s="79"/>
      <c r="IJ109" s="69"/>
      <c r="IK109" s="69"/>
      <c r="IL109" s="69"/>
      <c r="IM109" s="69"/>
      <c r="IN109" s="69"/>
    </row>
    <row r="110" spans="1:248" s="68" customFormat="1" ht="16.5" customHeight="1" hidden="1">
      <c r="A110" s="35" t="s">
        <v>19</v>
      </c>
      <c r="B110" s="66"/>
      <c r="C110" s="65">
        <f t="shared" si="1"/>
        <v>20540</v>
      </c>
      <c r="D110" s="65">
        <v>12</v>
      </c>
      <c r="E110" s="65">
        <v>12</v>
      </c>
      <c r="F110" s="65">
        <v>10258</v>
      </c>
      <c r="G110" s="65">
        <v>10258</v>
      </c>
      <c r="H110" s="72"/>
      <c r="I110" s="72"/>
      <c r="J110" s="72"/>
      <c r="K110" s="72"/>
      <c r="L110" s="72"/>
      <c r="M110" s="79"/>
      <c r="IJ110" s="69"/>
      <c r="IK110" s="69"/>
      <c r="IL110" s="69"/>
      <c r="IM110" s="69"/>
      <c r="IN110" s="69"/>
    </row>
    <row r="111" spans="1:248" s="68" customFormat="1" ht="16.5" customHeight="1" hidden="1">
      <c r="A111" s="35" t="s">
        <v>20</v>
      </c>
      <c r="B111" s="66"/>
      <c r="C111" s="65">
        <f t="shared" si="1"/>
        <v>0</v>
      </c>
      <c r="D111" s="65">
        <v>0</v>
      </c>
      <c r="E111" s="65">
        <v>0</v>
      </c>
      <c r="F111" s="65">
        <v>0</v>
      </c>
      <c r="G111" s="65">
        <v>0</v>
      </c>
      <c r="H111" s="72"/>
      <c r="I111" s="72"/>
      <c r="J111" s="72"/>
      <c r="K111" s="72"/>
      <c r="L111" s="72"/>
      <c r="M111" s="79"/>
      <c r="IJ111" s="69"/>
      <c r="IK111" s="69"/>
      <c r="IL111" s="69"/>
      <c r="IM111" s="69"/>
      <c r="IN111" s="69"/>
    </row>
    <row r="112" spans="1:248" s="68" customFormat="1" ht="29.25" customHeight="1" hidden="1">
      <c r="A112" s="35" t="s">
        <v>21</v>
      </c>
      <c r="B112" s="66"/>
      <c r="C112" s="67">
        <f t="shared" si="1"/>
        <v>484</v>
      </c>
      <c r="D112" s="65">
        <v>1</v>
      </c>
      <c r="E112" s="65">
        <v>1</v>
      </c>
      <c r="F112" s="65">
        <v>241</v>
      </c>
      <c r="G112" s="65">
        <v>241</v>
      </c>
      <c r="H112" s="72"/>
      <c r="I112" s="72"/>
      <c r="J112" s="72"/>
      <c r="K112" s="72"/>
      <c r="L112" s="72"/>
      <c r="M112" s="79"/>
      <c r="IJ112" s="69"/>
      <c r="IK112" s="69"/>
      <c r="IL112" s="69"/>
      <c r="IM112" s="69"/>
      <c r="IN112" s="69"/>
    </row>
    <row r="113" spans="1:248" s="54" customFormat="1" ht="30.75" customHeight="1">
      <c r="A113" s="83" t="s">
        <v>33</v>
      </c>
      <c r="B113" s="21" t="s">
        <v>35</v>
      </c>
      <c r="C113" s="23">
        <f t="shared" si="1"/>
        <v>41797</v>
      </c>
      <c r="D113" s="23">
        <f>SUM(D114:D116)</f>
        <v>10</v>
      </c>
      <c r="E113" s="23">
        <f>SUM(E114:E116)</f>
        <v>0</v>
      </c>
      <c r="F113" s="23">
        <f>SUM(F114:F116)</f>
        <v>20893</v>
      </c>
      <c r="G113" s="23">
        <f>SUM(G114:G116)</f>
        <v>20894</v>
      </c>
      <c r="H113" s="53"/>
      <c r="I113" s="53"/>
      <c r="J113" s="57"/>
      <c r="K113" s="58"/>
      <c r="L113" s="58"/>
      <c r="IJ113" s="55"/>
      <c r="IK113" s="55"/>
      <c r="IL113" s="55"/>
      <c r="IM113" s="55"/>
      <c r="IN113" s="55"/>
    </row>
    <row r="114" spans="1:248" s="54" customFormat="1" ht="16.5" customHeight="1">
      <c r="A114" s="26" t="s">
        <v>15</v>
      </c>
      <c r="B114" s="124"/>
      <c r="C114" s="56">
        <f t="shared" si="1"/>
        <v>6270</v>
      </c>
      <c r="D114" s="56">
        <v>2</v>
      </c>
      <c r="E114" s="56">
        <v>0</v>
      </c>
      <c r="F114" s="56">
        <v>3134</v>
      </c>
      <c r="G114" s="56">
        <v>3134</v>
      </c>
      <c r="H114" s="53"/>
      <c r="I114" s="53"/>
      <c r="J114" s="57"/>
      <c r="K114" s="58"/>
      <c r="L114" s="58"/>
      <c r="IJ114" s="55"/>
      <c r="IK114" s="55"/>
      <c r="IL114" s="55"/>
      <c r="IM114" s="55"/>
      <c r="IN114" s="55"/>
    </row>
    <row r="115" spans="1:248" s="54" customFormat="1" ht="16.5" customHeight="1">
      <c r="A115" s="30" t="s">
        <v>16</v>
      </c>
      <c r="B115" s="124"/>
      <c r="C115" s="56">
        <f t="shared" si="1"/>
        <v>35527</v>
      </c>
      <c r="D115" s="56">
        <v>8</v>
      </c>
      <c r="E115" s="56">
        <v>0</v>
      </c>
      <c r="F115" s="56">
        <v>17759</v>
      </c>
      <c r="G115" s="56">
        <v>17760</v>
      </c>
      <c r="H115" s="53"/>
      <c r="I115" s="53"/>
      <c r="J115" s="57"/>
      <c r="K115" s="58"/>
      <c r="L115" s="58"/>
      <c r="IJ115" s="55"/>
      <c r="IK115" s="55"/>
      <c r="IL115" s="55"/>
      <c r="IM115" s="55"/>
      <c r="IN115" s="55"/>
    </row>
    <row r="116" spans="1:248" s="54" customFormat="1" ht="16.5" customHeight="1">
      <c r="A116" s="30" t="s">
        <v>17</v>
      </c>
      <c r="B116" s="124"/>
      <c r="C116" s="56">
        <f t="shared" si="1"/>
        <v>0</v>
      </c>
      <c r="D116" s="56">
        <v>0</v>
      </c>
      <c r="E116" s="56">
        <v>0</v>
      </c>
      <c r="F116" s="56">
        <v>0</v>
      </c>
      <c r="G116" s="56">
        <v>0</v>
      </c>
      <c r="H116" s="53"/>
      <c r="I116" s="53"/>
      <c r="J116" s="57"/>
      <c r="K116" s="58"/>
      <c r="L116" s="58"/>
      <c r="IJ116" s="55"/>
      <c r="IK116" s="55"/>
      <c r="IL116" s="55"/>
      <c r="IM116" s="55"/>
      <c r="IN116" s="55"/>
    </row>
    <row r="117" spans="1:248" s="54" customFormat="1" ht="42" customHeight="1" hidden="1">
      <c r="A117" s="30"/>
      <c r="B117" s="124"/>
      <c r="C117" s="56"/>
      <c r="D117" s="56"/>
      <c r="E117" s="56"/>
      <c r="F117" s="56"/>
      <c r="G117" s="56"/>
      <c r="H117" s="53"/>
      <c r="I117" s="53"/>
      <c r="J117" s="57"/>
      <c r="K117" s="58"/>
      <c r="L117" s="58"/>
      <c r="IJ117" s="55"/>
      <c r="IK117" s="55"/>
      <c r="IL117" s="55"/>
      <c r="IM117" s="55"/>
      <c r="IN117" s="55"/>
    </row>
    <row r="118" spans="1:248" s="63" customFormat="1" ht="16.5" customHeight="1" hidden="1">
      <c r="A118" s="31"/>
      <c r="B118" s="47"/>
      <c r="C118" s="74">
        <f>C119+C120+C121+C122</f>
        <v>41797</v>
      </c>
      <c r="D118" s="74">
        <f>D119+D120+D121+D122</f>
        <v>10</v>
      </c>
      <c r="E118" s="74">
        <f>E119+E120+E121+E122</f>
        <v>0</v>
      </c>
      <c r="F118" s="74">
        <f>F119+F120+F121+F122</f>
        <v>20893</v>
      </c>
      <c r="G118" s="74">
        <f>G119+G120+G121+G122</f>
        <v>20894</v>
      </c>
      <c r="H118" s="60"/>
      <c r="I118" s="60"/>
      <c r="J118" s="61"/>
      <c r="K118" s="62"/>
      <c r="L118" s="62"/>
      <c r="IJ118" s="64"/>
      <c r="IK118" s="64"/>
      <c r="IL118" s="64"/>
      <c r="IM118" s="64"/>
      <c r="IN118" s="64"/>
    </row>
    <row r="119" spans="1:248" s="54" customFormat="1" ht="16.5" customHeight="1" hidden="1">
      <c r="A119" s="30" t="s">
        <v>18</v>
      </c>
      <c r="B119" s="41"/>
      <c r="C119" s="56">
        <f>SUM(D119:G119)</f>
        <v>6270</v>
      </c>
      <c r="D119" s="56">
        <v>2</v>
      </c>
      <c r="E119" s="56">
        <v>0</v>
      </c>
      <c r="F119" s="56">
        <v>3134</v>
      </c>
      <c r="G119" s="56">
        <v>3134</v>
      </c>
      <c r="H119" s="53"/>
      <c r="I119" s="53"/>
      <c r="J119" s="57"/>
      <c r="K119" s="58"/>
      <c r="L119" s="58"/>
      <c r="IJ119" s="55"/>
      <c r="IK119" s="55"/>
      <c r="IL119" s="55"/>
      <c r="IM119" s="55"/>
      <c r="IN119" s="55"/>
    </row>
    <row r="120" spans="1:248" s="54" customFormat="1" ht="16.5" customHeight="1" hidden="1">
      <c r="A120" s="30" t="s">
        <v>19</v>
      </c>
      <c r="B120" s="41"/>
      <c r="C120" s="56">
        <f>SUM(D120:G120)</f>
        <v>35527</v>
      </c>
      <c r="D120" s="56">
        <v>8</v>
      </c>
      <c r="E120" s="56">
        <v>0</v>
      </c>
      <c r="F120" s="56">
        <v>17759</v>
      </c>
      <c r="G120" s="56">
        <v>17760</v>
      </c>
      <c r="H120" s="53"/>
      <c r="I120" s="53"/>
      <c r="J120" s="57"/>
      <c r="K120" s="58"/>
      <c r="L120" s="58"/>
      <c r="IJ120" s="55"/>
      <c r="IK120" s="55"/>
      <c r="IL120" s="55"/>
      <c r="IM120" s="55"/>
      <c r="IN120" s="55"/>
    </row>
    <row r="121" spans="1:248" s="54" customFormat="1" ht="16.5" customHeight="1" hidden="1">
      <c r="A121" s="30" t="s">
        <v>20</v>
      </c>
      <c r="B121" s="41"/>
      <c r="C121" s="56">
        <f>SUM(D121:G121)</f>
        <v>0</v>
      </c>
      <c r="D121" s="56">
        <v>0</v>
      </c>
      <c r="E121" s="56">
        <v>0</v>
      </c>
      <c r="F121" s="56">
        <v>0</v>
      </c>
      <c r="G121" s="56">
        <v>0</v>
      </c>
      <c r="H121" s="53"/>
      <c r="I121" s="53"/>
      <c r="J121" s="57"/>
      <c r="K121" s="58"/>
      <c r="L121" s="58"/>
      <c r="IJ121" s="55"/>
      <c r="IK121" s="55"/>
      <c r="IL121" s="55"/>
      <c r="IM121" s="55"/>
      <c r="IN121" s="55"/>
    </row>
    <row r="122" spans="1:248" s="68" customFormat="1" ht="14.25" hidden="1">
      <c r="A122" s="35" t="s">
        <v>21</v>
      </c>
      <c r="B122" s="66"/>
      <c r="C122" s="84">
        <v>0</v>
      </c>
      <c r="D122" s="56">
        <v>0</v>
      </c>
      <c r="E122" s="56">
        <v>0</v>
      </c>
      <c r="F122" s="56">
        <v>0</v>
      </c>
      <c r="G122" s="56">
        <v>0</v>
      </c>
      <c r="H122" s="57"/>
      <c r="I122" s="57"/>
      <c r="J122" s="57"/>
      <c r="K122" s="57"/>
      <c r="L122" s="57"/>
      <c r="IJ122" s="69"/>
      <c r="IK122" s="69"/>
      <c r="IL122" s="69"/>
      <c r="IM122" s="69"/>
      <c r="IN122" s="69"/>
    </row>
    <row r="123" spans="1:248" s="54" customFormat="1" ht="31.5" customHeight="1">
      <c r="A123" s="52" t="s">
        <v>36</v>
      </c>
      <c r="B123" s="21" t="s">
        <v>37</v>
      </c>
      <c r="C123" s="23">
        <f>D123+E123+F123+G123</f>
        <v>6057</v>
      </c>
      <c r="D123" s="23">
        <f>SUM(D124:D126)</f>
        <v>280</v>
      </c>
      <c r="E123" s="23">
        <f>SUM(E124:E126)</f>
        <v>0</v>
      </c>
      <c r="F123" s="23">
        <f>SUM(F124:F126)</f>
        <v>4619</v>
      </c>
      <c r="G123" s="23">
        <f>SUM(G124:G126)</f>
        <v>1158</v>
      </c>
      <c r="H123" s="53"/>
      <c r="I123" s="53"/>
      <c r="J123" s="57"/>
      <c r="K123" s="58"/>
      <c r="L123" s="58"/>
      <c r="IJ123" s="55"/>
      <c r="IK123" s="55"/>
      <c r="IL123" s="55"/>
      <c r="IM123" s="55"/>
      <c r="IN123" s="55"/>
    </row>
    <row r="124" spans="1:248" s="54" customFormat="1" ht="16.5" customHeight="1">
      <c r="A124" s="26" t="s">
        <v>15</v>
      </c>
      <c r="B124" s="124"/>
      <c r="C124" s="56">
        <f>D124+E124+F124+G124</f>
        <v>901</v>
      </c>
      <c r="D124" s="56">
        <v>42</v>
      </c>
      <c r="E124" s="56">
        <v>0</v>
      </c>
      <c r="F124" s="56">
        <v>693</v>
      </c>
      <c r="G124" s="56">
        <v>166</v>
      </c>
      <c r="H124" s="53"/>
      <c r="I124" s="53"/>
      <c r="J124" s="57"/>
      <c r="K124" s="58"/>
      <c r="L124" s="58"/>
      <c r="IJ124" s="55"/>
      <c r="IK124" s="55"/>
      <c r="IL124" s="55"/>
      <c r="IM124" s="55"/>
      <c r="IN124" s="55"/>
    </row>
    <row r="125" spans="1:248" s="54" customFormat="1" ht="16.5" customHeight="1">
      <c r="A125" s="30" t="s">
        <v>16</v>
      </c>
      <c r="B125" s="124"/>
      <c r="C125" s="56">
        <f>D125+E125+F125+G125</f>
        <v>5108</v>
      </c>
      <c r="D125" s="56">
        <v>238</v>
      </c>
      <c r="E125" s="56">
        <v>0</v>
      </c>
      <c r="F125" s="56">
        <v>3926</v>
      </c>
      <c r="G125" s="56">
        <v>944</v>
      </c>
      <c r="H125" s="53"/>
      <c r="I125" s="53"/>
      <c r="J125" s="57"/>
      <c r="K125" s="58"/>
      <c r="L125" s="58"/>
      <c r="IJ125" s="55"/>
      <c r="IK125" s="55"/>
      <c r="IL125" s="55"/>
      <c r="IM125" s="55"/>
      <c r="IN125" s="55"/>
    </row>
    <row r="126" spans="1:248" s="54" customFormat="1" ht="16.5" customHeight="1">
      <c r="A126" s="30" t="s">
        <v>17</v>
      </c>
      <c r="B126" s="124"/>
      <c r="C126" s="56">
        <f>D126+E126+F126+G126</f>
        <v>48</v>
      </c>
      <c r="D126" s="56">
        <v>0</v>
      </c>
      <c r="E126" s="56">
        <v>0</v>
      </c>
      <c r="F126" s="56">
        <v>0</v>
      </c>
      <c r="G126" s="56">
        <v>48</v>
      </c>
      <c r="H126" s="53"/>
      <c r="I126" s="53"/>
      <c r="J126" s="57"/>
      <c r="K126" s="58"/>
      <c r="L126" s="58"/>
      <c r="IJ126" s="55"/>
      <c r="IK126" s="55"/>
      <c r="IL126" s="55"/>
      <c r="IM126" s="55"/>
      <c r="IN126" s="55"/>
    </row>
    <row r="127" spans="1:248" s="54" customFormat="1" ht="16.5" customHeight="1" hidden="1">
      <c r="A127" s="30"/>
      <c r="B127" s="41"/>
      <c r="C127" s="56"/>
      <c r="D127" s="56"/>
      <c r="E127" s="56"/>
      <c r="F127" s="56"/>
      <c r="G127" s="56"/>
      <c r="H127" s="53"/>
      <c r="I127" s="53"/>
      <c r="J127" s="57"/>
      <c r="K127" s="58"/>
      <c r="L127" s="58"/>
      <c r="IJ127" s="55"/>
      <c r="IK127" s="55"/>
      <c r="IL127" s="55"/>
      <c r="IM127" s="55"/>
      <c r="IN127" s="55"/>
    </row>
    <row r="128" spans="1:248" s="63" customFormat="1" ht="16.5" customHeight="1" hidden="1">
      <c r="A128" s="31"/>
      <c r="B128" s="47"/>
      <c r="C128" s="74">
        <f>C129+C130+C131+C132</f>
        <v>6057</v>
      </c>
      <c r="D128" s="74">
        <f>D129+D130+D131+D132</f>
        <v>280</v>
      </c>
      <c r="E128" s="74">
        <f>E129+E130+E131+E132</f>
        <v>0</v>
      </c>
      <c r="F128" s="74">
        <f>F129+F130+F131+F132</f>
        <v>4619</v>
      </c>
      <c r="G128" s="74">
        <f>G129+G130+G131+G132</f>
        <v>1158</v>
      </c>
      <c r="H128" s="60"/>
      <c r="I128" s="60"/>
      <c r="J128" s="61"/>
      <c r="K128" s="62"/>
      <c r="L128" s="62"/>
      <c r="IJ128" s="64"/>
      <c r="IK128" s="64"/>
      <c r="IL128" s="64"/>
      <c r="IM128" s="64"/>
      <c r="IN128" s="64"/>
    </row>
    <row r="129" spans="1:248" s="54" customFormat="1" ht="16.5" customHeight="1" hidden="1">
      <c r="A129" s="30" t="s">
        <v>18</v>
      </c>
      <c r="B129" s="41"/>
      <c r="C129" s="56">
        <f>SUM(D129:G129)</f>
        <v>187</v>
      </c>
      <c r="D129" s="56">
        <v>36</v>
      </c>
      <c r="E129" s="56">
        <v>0</v>
      </c>
      <c r="F129" s="56">
        <v>7</v>
      </c>
      <c r="G129" s="56">
        <v>144</v>
      </c>
      <c r="H129" s="53"/>
      <c r="I129" s="53"/>
      <c r="J129" s="57"/>
      <c r="K129" s="58"/>
      <c r="L129" s="58"/>
      <c r="IJ129" s="55"/>
      <c r="IK129" s="55"/>
      <c r="IL129" s="55"/>
      <c r="IM129" s="55"/>
      <c r="IN129" s="55"/>
    </row>
    <row r="130" spans="1:248" s="54" customFormat="1" ht="16.5" customHeight="1" hidden="1">
      <c r="A130" s="30" t="s">
        <v>19</v>
      </c>
      <c r="B130" s="41"/>
      <c r="C130" s="56">
        <f>SUM(D130:G130)</f>
        <v>5108</v>
      </c>
      <c r="D130" s="56">
        <v>238</v>
      </c>
      <c r="E130" s="56">
        <v>0</v>
      </c>
      <c r="F130" s="56">
        <v>3926</v>
      </c>
      <c r="G130" s="56">
        <v>944</v>
      </c>
      <c r="H130" s="53"/>
      <c r="I130" s="53"/>
      <c r="J130" s="57"/>
      <c r="K130" s="58"/>
      <c r="L130" s="58"/>
      <c r="IJ130" s="55"/>
      <c r="IK130" s="55"/>
      <c r="IL130" s="55"/>
      <c r="IM130" s="55"/>
      <c r="IN130" s="55"/>
    </row>
    <row r="131" spans="1:248" s="54" customFormat="1" ht="16.5" customHeight="1" hidden="1">
      <c r="A131" s="30" t="s">
        <v>20</v>
      </c>
      <c r="B131" s="41"/>
      <c r="C131" s="56">
        <f>SUM(D131:G131)</f>
        <v>0</v>
      </c>
      <c r="D131" s="56">
        <v>0</v>
      </c>
      <c r="E131" s="56">
        <v>0</v>
      </c>
      <c r="F131" s="56">
        <v>0</v>
      </c>
      <c r="G131" s="56">
        <v>0</v>
      </c>
      <c r="H131" s="53"/>
      <c r="I131" s="53"/>
      <c r="J131" s="57"/>
      <c r="K131" s="58"/>
      <c r="L131" s="58"/>
      <c r="IJ131" s="55"/>
      <c r="IK131" s="55"/>
      <c r="IL131" s="55"/>
      <c r="IM131" s="55"/>
      <c r="IN131" s="55"/>
    </row>
    <row r="132" spans="1:248" s="68" customFormat="1" ht="14.25" hidden="1">
      <c r="A132" s="35" t="s">
        <v>21</v>
      </c>
      <c r="B132" s="66"/>
      <c r="C132" s="84">
        <f>SUM(D132:G132)</f>
        <v>762</v>
      </c>
      <c r="D132" s="56">
        <v>6</v>
      </c>
      <c r="E132" s="56"/>
      <c r="F132" s="56">
        <v>686</v>
      </c>
      <c r="G132" s="56">
        <v>70</v>
      </c>
      <c r="H132" s="57"/>
      <c r="I132" s="57"/>
      <c r="J132" s="57"/>
      <c r="K132" s="57"/>
      <c r="L132" s="57"/>
      <c r="IJ132" s="69"/>
      <c r="IK132" s="69"/>
      <c r="IL132" s="69"/>
      <c r="IM132" s="69"/>
      <c r="IN132" s="69"/>
    </row>
    <row r="133" spans="1:248" s="63" customFormat="1" ht="16.5" customHeight="1">
      <c r="A133" s="130" t="s">
        <v>38</v>
      </c>
      <c r="B133" s="130"/>
      <c r="C133" s="32">
        <f>C11+C21+C31+C41+C51+C61+C71+C81+C92+C103+C113+C123</f>
        <v>99718</v>
      </c>
      <c r="D133" s="32">
        <f>D11+D21+D31+D41+D51+D61+D71+D81+D92+D103+D113+D123</f>
        <v>2669</v>
      </c>
      <c r="E133" s="32">
        <f>E11+E21+E31+E41+E51+E61+E71+E81+E92+E103+E113+E123</f>
        <v>4163</v>
      </c>
      <c r="F133" s="32">
        <f>F11+F21+F31+F41+F51+F61+F71+F81+F92+F103+F113+F123</f>
        <v>50964</v>
      </c>
      <c r="G133" s="32">
        <f>G11+G21+G31+G41+G51+G61+G71+G81+G92+G103+G113+G123</f>
        <v>41922</v>
      </c>
      <c r="H133" s="60"/>
      <c r="I133" s="60"/>
      <c r="J133" s="61"/>
      <c r="K133" s="62"/>
      <c r="L133" s="62"/>
      <c r="IJ133" s="64"/>
      <c r="IK133" s="64"/>
      <c r="IL133" s="64"/>
      <c r="IM133" s="64"/>
      <c r="IN133" s="64"/>
    </row>
    <row r="134" spans="1:248" s="54" customFormat="1" ht="14.25" customHeight="1">
      <c r="A134" s="131" t="s">
        <v>39</v>
      </c>
      <c r="B134" s="131"/>
      <c r="C134" s="131"/>
      <c r="D134" s="85"/>
      <c r="E134" s="85"/>
      <c r="F134" s="74"/>
      <c r="G134" s="74"/>
      <c r="H134" s="53"/>
      <c r="I134" s="53"/>
      <c r="J134" s="57"/>
      <c r="K134" s="58"/>
      <c r="L134" s="58"/>
      <c r="IJ134" s="55"/>
      <c r="IK134" s="55"/>
      <c r="IL134" s="55"/>
      <c r="IM134" s="55"/>
      <c r="IN134" s="55"/>
    </row>
    <row r="135" spans="1:248" s="54" customFormat="1" ht="48" customHeight="1">
      <c r="A135" s="52" t="s">
        <v>40</v>
      </c>
      <c r="B135" s="52" t="s">
        <v>41</v>
      </c>
      <c r="C135" s="23">
        <f>C136+C137+C138</f>
        <v>13479</v>
      </c>
      <c r="D135" s="32">
        <f>D136+D137+D138</f>
        <v>10</v>
      </c>
      <c r="E135" s="32">
        <f>E136+E137+E138</f>
        <v>7542</v>
      </c>
      <c r="F135" s="32">
        <f>F136+F137+F138</f>
        <v>2963</v>
      </c>
      <c r="G135" s="23">
        <f>G136+G137+G138</f>
        <v>2964</v>
      </c>
      <c r="H135" s="53"/>
      <c r="I135" s="53"/>
      <c r="J135" s="57"/>
      <c r="K135" s="58"/>
      <c r="L135" s="58"/>
      <c r="IJ135" s="55"/>
      <c r="IK135" s="55"/>
      <c r="IL135" s="55"/>
      <c r="IM135" s="55"/>
      <c r="IN135" s="55"/>
    </row>
    <row r="136" spans="1:248" s="54" customFormat="1" ht="16.5" customHeight="1">
      <c r="A136" s="26" t="s">
        <v>15</v>
      </c>
      <c r="B136" s="123"/>
      <c r="C136" s="27">
        <f>D136+E136+F136+G136</f>
        <v>1948</v>
      </c>
      <c r="D136" s="28">
        <v>2</v>
      </c>
      <c r="E136" s="28">
        <v>1116</v>
      </c>
      <c r="F136" s="28">
        <v>415</v>
      </c>
      <c r="G136" s="27">
        <v>415</v>
      </c>
      <c r="H136" s="53"/>
      <c r="I136" s="53"/>
      <c r="J136" s="68"/>
      <c r="K136" s="58"/>
      <c r="L136" s="58"/>
      <c r="IJ136" s="55"/>
      <c r="IK136" s="55"/>
      <c r="IL136" s="55"/>
      <c r="IM136" s="55"/>
      <c r="IN136" s="55"/>
    </row>
    <row r="137" spans="1:248" s="54" customFormat="1" ht="16.5" customHeight="1">
      <c r="A137" s="30" t="s">
        <v>16</v>
      </c>
      <c r="B137" s="123"/>
      <c r="C137" s="27">
        <f>D137+E137+F137+G137</f>
        <v>11031</v>
      </c>
      <c r="D137" s="28">
        <v>8</v>
      </c>
      <c r="E137" s="28">
        <v>6326</v>
      </c>
      <c r="F137" s="28">
        <v>2348</v>
      </c>
      <c r="G137" s="27">
        <v>2349</v>
      </c>
      <c r="H137" s="53"/>
      <c r="I137" s="53"/>
      <c r="J137" s="57"/>
      <c r="K137" s="58"/>
      <c r="L137" s="58"/>
      <c r="IJ137" s="55"/>
      <c r="IK137" s="55"/>
      <c r="IL137" s="55"/>
      <c r="IM137" s="55"/>
      <c r="IN137" s="55"/>
    </row>
    <row r="138" spans="1:248" s="54" customFormat="1" ht="16.5" customHeight="1">
      <c r="A138" s="30" t="s">
        <v>17</v>
      </c>
      <c r="B138" s="123"/>
      <c r="C138" s="27">
        <f>D138+E138+F138+G138</f>
        <v>500</v>
      </c>
      <c r="D138" s="28">
        <v>0</v>
      </c>
      <c r="E138" s="28">
        <v>100</v>
      </c>
      <c r="F138" s="28">
        <v>200</v>
      </c>
      <c r="G138" s="27">
        <v>200</v>
      </c>
      <c r="H138" s="53"/>
      <c r="I138" s="53"/>
      <c r="J138" s="57"/>
      <c r="K138" s="58"/>
      <c r="L138" s="58"/>
      <c r="IJ138" s="55"/>
      <c r="IK138" s="55"/>
      <c r="IL138" s="55"/>
      <c r="IM138" s="55"/>
      <c r="IN138" s="55"/>
    </row>
    <row r="139" spans="1:248" s="54" customFormat="1" ht="16.5" customHeight="1" hidden="1">
      <c r="A139" s="30"/>
      <c r="B139" s="52"/>
      <c r="C139" s="27"/>
      <c r="D139" s="28"/>
      <c r="E139" s="28"/>
      <c r="F139" s="27"/>
      <c r="G139" s="27"/>
      <c r="H139" s="53"/>
      <c r="I139" s="53"/>
      <c r="J139" s="57" t="s">
        <v>32</v>
      </c>
      <c r="K139" s="58"/>
      <c r="L139" s="58"/>
      <c r="IJ139" s="55"/>
      <c r="IK139" s="55"/>
      <c r="IL139" s="55"/>
      <c r="IM139" s="55"/>
      <c r="IN139" s="55"/>
    </row>
    <row r="140" spans="1:248" s="54" customFormat="1" ht="16.5" customHeight="1" hidden="1">
      <c r="A140" s="31"/>
      <c r="B140" s="52"/>
      <c r="C140" s="23">
        <f>C141+C142+C143+C144</f>
        <v>13479</v>
      </c>
      <c r="D140" s="32">
        <f>D141+D142+D143+D144</f>
        <v>10</v>
      </c>
      <c r="E140" s="32">
        <f>E141+E142+E143+E144</f>
        <v>7542</v>
      </c>
      <c r="F140" s="23">
        <f>F141+F142+F143+F144</f>
        <v>2963</v>
      </c>
      <c r="G140" s="23">
        <f>G141+G142+G143+G144</f>
        <v>2964</v>
      </c>
      <c r="H140" s="53"/>
      <c r="I140" s="53"/>
      <c r="J140" s="57"/>
      <c r="K140" s="58"/>
      <c r="L140" s="58"/>
      <c r="IJ140" s="55"/>
      <c r="IK140" s="55"/>
      <c r="IL140" s="55"/>
      <c r="IM140" s="55"/>
      <c r="IN140" s="55"/>
    </row>
    <row r="141" spans="1:248" s="54" customFormat="1" ht="16.5" customHeight="1" hidden="1">
      <c r="A141" s="30" t="s">
        <v>18</v>
      </c>
      <c r="B141" s="52"/>
      <c r="C141" s="27">
        <f aca="true" t="shared" si="2" ref="C141:C148">D141+E141+F141+G141</f>
        <v>1686</v>
      </c>
      <c r="D141" s="28">
        <v>1</v>
      </c>
      <c r="E141" s="28">
        <v>967</v>
      </c>
      <c r="F141" s="28">
        <v>359</v>
      </c>
      <c r="G141" s="28">
        <v>359</v>
      </c>
      <c r="H141" s="53"/>
      <c r="I141" s="53"/>
      <c r="J141" s="57"/>
      <c r="K141" s="58"/>
      <c r="L141" s="58"/>
      <c r="IJ141" s="55"/>
      <c r="IK141" s="55"/>
      <c r="IL141" s="55"/>
      <c r="IM141" s="55"/>
      <c r="IN141" s="55"/>
    </row>
    <row r="142" spans="1:248" s="54" customFormat="1" ht="16.5" customHeight="1" hidden="1">
      <c r="A142" s="30" t="s">
        <v>19</v>
      </c>
      <c r="B142" s="52"/>
      <c r="C142" s="27">
        <f t="shared" si="2"/>
        <v>11034</v>
      </c>
      <c r="D142" s="28">
        <v>9</v>
      </c>
      <c r="E142" s="28">
        <v>6326</v>
      </c>
      <c r="F142" s="28">
        <v>2349</v>
      </c>
      <c r="G142" s="28">
        <v>2350</v>
      </c>
      <c r="H142" s="53"/>
      <c r="I142" s="53"/>
      <c r="J142" s="57"/>
      <c r="K142" s="58"/>
      <c r="L142" s="58"/>
      <c r="IJ142" s="55"/>
      <c r="IK142" s="55"/>
      <c r="IL142" s="55"/>
      <c r="IM142" s="55"/>
      <c r="IN142" s="55"/>
    </row>
    <row r="143" spans="1:248" s="54" customFormat="1" ht="16.5" customHeight="1" hidden="1">
      <c r="A143" s="30" t="s">
        <v>20</v>
      </c>
      <c r="B143" s="52"/>
      <c r="C143" s="37">
        <f t="shared" si="2"/>
        <v>0</v>
      </c>
      <c r="D143" s="28">
        <v>0</v>
      </c>
      <c r="E143" s="28">
        <v>0</v>
      </c>
      <c r="F143" s="28">
        <v>0</v>
      </c>
      <c r="G143" s="29">
        <v>0</v>
      </c>
      <c r="H143" s="53"/>
      <c r="I143" s="53"/>
      <c r="J143" s="57"/>
      <c r="K143" s="58"/>
      <c r="L143" s="58"/>
      <c r="IJ143" s="55"/>
      <c r="IK143" s="55"/>
      <c r="IL143" s="55"/>
      <c r="IM143" s="55"/>
      <c r="IN143" s="55"/>
    </row>
    <row r="144" spans="1:248" s="54" customFormat="1" ht="30.75" customHeight="1" hidden="1">
      <c r="A144" s="35" t="s">
        <v>21</v>
      </c>
      <c r="B144" s="52"/>
      <c r="C144" s="40">
        <f t="shared" si="2"/>
        <v>759</v>
      </c>
      <c r="D144" s="27">
        <v>0</v>
      </c>
      <c r="E144" s="27">
        <v>249</v>
      </c>
      <c r="F144" s="27">
        <v>255</v>
      </c>
      <c r="G144" s="27">
        <v>255</v>
      </c>
      <c r="H144" s="53"/>
      <c r="I144" s="53"/>
      <c r="J144" s="57"/>
      <c r="K144" s="58"/>
      <c r="L144" s="58"/>
      <c r="IJ144" s="55"/>
      <c r="IK144" s="55"/>
      <c r="IL144" s="55"/>
      <c r="IM144" s="55"/>
      <c r="IN144" s="55"/>
    </row>
    <row r="145" spans="1:248" s="54" customFormat="1" ht="45" customHeight="1">
      <c r="A145" s="52" t="s">
        <v>40</v>
      </c>
      <c r="B145" s="21" t="s">
        <v>42</v>
      </c>
      <c r="C145" s="23">
        <f t="shared" si="2"/>
        <v>6937</v>
      </c>
      <c r="D145" s="23">
        <f>SUM(D146:D148)</f>
        <v>236</v>
      </c>
      <c r="E145" s="23">
        <f>SUM(E146:E148)</f>
        <v>676</v>
      </c>
      <c r="F145" s="23">
        <f>SUM(F146:F148)</f>
        <v>4670</v>
      </c>
      <c r="G145" s="23">
        <f>SUM(G146:G148)</f>
        <v>1355</v>
      </c>
      <c r="H145" s="53"/>
      <c r="I145" s="53"/>
      <c r="J145" s="57"/>
      <c r="K145" s="58"/>
      <c r="L145" s="58"/>
      <c r="IJ145" s="55"/>
      <c r="IK145" s="55"/>
      <c r="IL145" s="55"/>
      <c r="IM145" s="55"/>
      <c r="IN145" s="55"/>
    </row>
    <row r="146" spans="1:248" s="54" customFormat="1" ht="16.5" customHeight="1">
      <c r="A146" s="26" t="s">
        <v>15</v>
      </c>
      <c r="B146" s="124"/>
      <c r="C146" s="56">
        <f t="shared" si="2"/>
        <v>2029</v>
      </c>
      <c r="D146" s="56">
        <v>71</v>
      </c>
      <c r="E146" s="56">
        <v>185</v>
      </c>
      <c r="F146" s="56">
        <v>1385</v>
      </c>
      <c r="G146" s="56">
        <v>388</v>
      </c>
      <c r="H146" s="53"/>
      <c r="I146" s="53"/>
      <c r="J146" s="57"/>
      <c r="K146" s="58"/>
      <c r="L146" s="58"/>
      <c r="IJ146" s="55"/>
      <c r="IK146" s="55"/>
      <c r="IL146" s="55"/>
      <c r="IM146" s="55"/>
      <c r="IN146" s="55"/>
    </row>
    <row r="147" spans="1:248" s="54" customFormat="1" ht="16.5" customHeight="1">
      <c r="A147" s="30" t="s">
        <v>16</v>
      </c>
      <c r="B147" s="124"/>
      <c r="C147" s="56">
        <f t="shared" si="2"/>
        <v>4734</v>
      </c>
      <c r="D147" s="56">
        <v>165</v>
      </c>
      <c r="E147" s="56">
        <v>431</v>
      </c>
      <c r="F147" s="56">
        <v>3231</v>
      </c>
      <c r="G147" s="56">
        <v>907</v>
      </c>
      <c r="H147" s="53"/>
      <c r="I147" s="53"/>
      <c r="J147" s="57"/>
      <c r="K147" s="58"/>
      <c r="L147" s="58"/>
      <c r="IJ147" s="55"/>
      <c r="IK147" s="55"/>
      <c r="IL147" s="55"/>
      <c r="IM147" s="55"/>
      <c r="IN147" s="55"/>
    </row>
    <row r="148" spans="1:248" s="54" customFormat="1" ht="16.5" customHeight="1">
      <c r="A148" s="30" t="s">
        <v>17</v>
      </c>
      <c r="B148" s="124"/>
      <c r="C148" s="56">
        <f t="shared" si="2"/>
        <v>174</v>
      </c>
      <c r="D148" s="56">
        <v>0</v>
      </c>
      <c r="E148" s="56">
        <v>60</v>
      </c>
      <c r="F148" s="56">
        <v>54</v>
      </c>
      <c r="G148" s="56">
        <v>60</v>
      </c>
      <c r="H148" s="53"/>
      <c r="I148" s="53"/>
      <c r="J148" s="57"/>
      <c r="K148" s="58"/>
      <c r="L148" s="58"/>
      <c r="IJ148" s="55"/>
      <c r="IK148" s="55"/>
      <c r="IL148" s="55"/>
      <c r="IM148" s="55"/>
      <c r="IN148" s="55"/>
    </row>
    <row r="149" spans="1:248" s="54" customFormat="1" ht="16.5" customHeight="1" hidden="1">
      <c r="A149" s="30"/>
      <c r="B149" s="41"/>
      <c r="C149" s="56"/>
      <c r="D149" s="56"/>
      <c r="E149" s="56"/>
      <c r="F149" s="56"/>
      <c r="G149" s="56"/>
      <c r="H149" s="53"/>
      <c r="I149" s="53"/>
      <c r="J149" s="57"/>
      <c r="K149" s="58"/>
      <c r="L149" s="58"/>
      <c r="IJ149" s="55"/>
      <c r="IK149" s="55"/>
      <c r="IL149" s="55"/>
      <c r="IM149" s="55"/>
      <c r="IN149" s="55"/>
    </row>
    <row r="150" spans="1:248" s="63" customFormat="1" ht="16.5" customHeight="1" hidden="1">
      <c r="A150" s="31"/>
      <c r="B150" s="47"/>
      <c r="C150" s="74">
        <f>C151+C152+C153+C154</f>
        <v>6937</v>
      </c>
      <c r="D150" s="74">
        <f>D151+D152+D153+D154</f>
        <v>236</v>
      </c>
      <c r="E150" s="74">
        <f>E151+E152+E153+E154</f>
        <v>676</v>
      </c>
      <c r="F150" s="74">
        <f>F151+F152+F153+F154</f>
        <v>4670</v>
      </c>
      <c r="G150" s="74">
        <f>G151+G152+G153+G154</f>
        <v>1355</v>
      </c>
      <c r="H150" s="60"/>
      <c r="I150" s="60"/>
      <c r="J150" s="61"/>
      <c r="K150" s="62"/>
      <c r="L150" s="62"/>
      <c r="IJ150" s="64"/>
      <c r="IK150" s="64"/>
      <c r="IL150" s="64"/>
      <c r="IM150" s="64"/>
      <c r="IN150" s="64"/>
    </row>
    <row r="151" spans="1:248" s="54" customFormat="1" ht="16.5" customHeight="1" hidden="1">
      <c r="A151" s="30" t="s">
        <v>18</v>
      </c>
      <c r="B151" s="41"/>
      <c r="C151" s="56">
        <f>SUM(D151:G151)</f>
        <v>1862</v>
      </c>
      <c r="D151" s="56">
        <v>35</v>
      </c>
      <c r="E151" s="56">
        <v>173</v>
      </c>
      <c r="F151" s="56">
        <v>1292</v>
      </c>
      <c r="G151" s="56">
        <v>362</v>
      </c>
      <c r="H151" s="53"/>
      <c r="I151" s="53"/>
      <c r="J151" s="57"/>
      <c r="K151" s="58"/>
      <c r="L151" s="58"/>
      <c r="IJ151" s="55"/>
      <c r="IK151" s="55"/>
      <c r="IL151" s="55"/>
      <c r="IM151" s="55"/>
      <c r="IN151" s="55"/>
    </row>
    <row r="152" spans="1:248" s="54" customFormat="1" ht="16.5" customHeight="1" hidden="1">
      <c r="A152" s="30" t="s">
        <v>19</v>
      </c>
      <c r="B152" s="41"/>
      <c r="C152" s="56">
        <f>SUM(D152:G152)</f>
        <v>4656</v>
      </c>
      <c r="D152" s="56">
        <v>87</v>
      </c>
      <c r="E152" s="56">
        <v>431</v>
      </c>
      <c r="F152" s="56">
        <v>3231</v>
      </c>
      <c r="G152" s="56">
        <v>907</v>
      </c>
      <c r="H152" s="53"/>
      <c r="I152" s="53"/>
      <c r="J152" s="57"/>
      <c r="K152" s="58"/>
      <c r="L152" s="58"/>
      <c r="IJ152" s="55"/>
      <c r="IK152" s="55"/>
      <c r="IL152" s="55"/>
      <c r="IM152" s="55"/>
      <c r="IN152" s="55"/>
    </row>
    <row r="153" spans="1:248" s="54" customFormat="1" ht="16.5" customHeight="1" hidden="1">
      <c r="A153" s="30" t="s">
        <v>20</v>
      </c>
      <c r="B153" s="41"/>
      <c r="C153" s="56">
        <f>SUM(D153:G153)</f>
        <v>103</v>
      </c>
      <c r="D153" s="56">
        <v>103</v>
      </c>
      <c r="E153" s="56">
        <v>0</v>
      </c>
      <c r="F153" s="56">
        <v>0</v>
      </c>
      <c r="G153" s="56">
        <v>0</v>
      </c>
      <c r="H153" s="53"/>
      <c r="I153" s="53"/>
      <c r="J153" s="57"/>
      <c r="K153" s="58"/>
      <c r="L153" s="58"/>
      <c r="IJ153" s="55"/>
      <c r="IK153" s="55"/>
      <c r="IL153" s="55"/>
      <c r="IM153" s="55"/>
      <c r="IN153" s="55"/>
    </row>
    <row r="154" spans="1:248" s="68" customFormat="1" ht="14.25" hidden="1">
      <c r="A154" s="35" t="s">
        <v>21</v>
      </c>
      <c r="B154" s="66"/>
      <c r="C154" s="84">
        <f>SUM(D154:G154)</f>
        <v>316</v>
      </c>
      <c r="D154" s="56">
        <v>11</v>
      </c>
      <c r="E154" s="56">
        <v>72</v>
      </c>
      <c r="F154" s="56">
        <v>147</v>
      </c>
      <c r="G154" s="56">
        <v>86</v>
      </c>
      <c r="H154" s="57"/>
      <c r="I154" s="57"/>
      <c r="J154" s="57"/>
      <c r="K154" s="57"/>
      <c r="L154" s="57"/>
      <c r="IJ154" s="69"/>
      <c r="IK154" s="69"/>
      <c r="IL154" s="69"/>
      <c r="IM154" s="69"/>
      <c r="IN154" s="69"/>
    </row>
    <row r="155" spans="1:248" s="63" customFormat="1" ht="16.5" customHeight="1">
      <c r="A155" s="130" t="s">
        <v>43</v>
      </c>
      <c r="B155" s="130"/>
      <c r="C155" s="32">
        <f>C135+C145</f>
        <v>20416</v>
      </c>
      <c r="D155" s="32">
        <f>D135+D145</f>
        <v>246</v>
      </c>
      <c r="E155" s="32">
        <f>E135+E145</f>
        <v>8218</v>
      </c>
      <c r="F155" s="32">
        <f>F135+F145</f>
        <v>7633</v>
      </c>
      <c r="G155" s="32">
        <f>G135+G145</f>
        <v>4319</v>
      </c>
      <c r="H155" s="60"/>
      <c r="I155" s="60"/>
      <c r="J155" s="61"/>
      <c r="K155" s="62"/>
      <c r="L155" s="62"/>
      <c r="IJ155" s="64"/>
      <c r="IK155" s="64"/>
      <c r="IL155" s="64"/>
      <c r="IM155" s="64"/>
      <c r="IN155" s="64"/>
    </row>
    <row r="156" spans="1:248" s="54" customFormat="1" ht="15" customHeight="1">
      <c r="A156" s="131" t="s">
        <v>44</v>
      </c>
      <c r="B156" s="131"/>
      <c r="C156" s="131"/>
      <c r="D156" s="74"/>
      <c r="E156" s="74"/>
      <c r="F156" s="74"/>
      <c r="G156" s="74"/>
      <c r="H156" s="53"/>
      <c r="I156" s="53"/>
      <c r="J156" s="57"/>
      <c r="K156" s="58"/>
      <c r="L156" s="58"/>
      <c r="IJ156" s="55"/>
      <c r="IK156" s="55"/>
      <c r="IL156" s="55"/>
      <c r="IM156" s="55"/>
      <c r="IN156" s="55"/>
    </row>
    <row r="157" spans="1:248" s="54" customFormat="1" ht="32.25" customHeight="1">
      <c r="A157" s="86" t="s">
        <v>45</v>
      </c>
      <c r="B157" s="47" t="s">
        <v>46</v>
      </c>
      <c r="C157" s="23">
        <f>D157+E157+F157+G157</f>
        <v>155</v>
      </c>
      <c r="D157" s="23">
        <f>D158+D159+D160</f>
        <v>0</v>
      </c>
      <c r="E157" s="23">
        <f>E158+E159+E160</f>
        <v>155</v>
      </c>
      <c r="F157" s="23">
        <f>F158+F159+F160</f>
        <v>0</v>
      </c>
      <c r="G157" s="23">
        <f>G158+G159+G160</f>
        <v>0</v>
      </c>
      <c r="H157" s="53"/>
      <c r="I157" s="53"/>
      <c r="J157" s="53"/>
      <c r="K157" s="53"/>
      <c r="L157" s="53"/>
      <c r="M157" s="53"/>
      <c r="IJ157" s="55"/>
      <c r="IK157" s="55"/>
      <c r="IL157" s="55"/>
      <c r="IM157" s="55"/>
      <c r="IN157" s="55"/>
    </row>
    <row r="158" spans="1:248" s="54" customFormat="1" ht="16.5" customHeight="1">
      <c r="A158" s="26" t="s">
        <v>15</v>
      </c>
      <c r="B158" s="41"/>
      <c r="C158" s="56">
        <f>D158+E158+F158+G158</f>
        <v>0</v>
      </c>
      <c r="D158" s="56">
        <f>ROUNDUP((J158*0.15),0)</f>
        <v>0</v>
      </c>
      <c r="E158" s="56">
        <f>K158*0.15</f>
        <v>0</v>
      </c>
      <c r="F158" s="56">
        <f>L158*0.15</f>
        <v>0</v>
      </c>
      <c r="G158" s="56">
        <f>M158*0.15</f>
        <v>0</v>
      </c>
      <c r="H158" s="53"/>
      <c r="I158" s="125"/>
      <c r="J158" s="125"/>
      <c r="K158" s="125"/>
      <c r="L158" s="126"/>
      <c r="M158" s="126"/>
      <c r="IJ158" s="55"/>
      <c r="IK158" s="55"/>
      <c r="IL158" s="55"/>
      <c r="IM158" s="55"/>
      <c r="IN158" s="55"/>
    </row>
    <row r="159" spans="1:248" s="54" customFormat="1" ht="16.5" customHeight="1">
      <c r="A159" s="30" t="s">
        <v>16</v>
      </c>
      <c r="B159" s="41"/>
      <c r="C159" s="56">
        <f>D159+E159+F159+G159</f>
        <v>0</v>
      </c>
      <c r="D159" s="56">
        <f>ROUNDDOWN((J158*0.85),0)</f>
        <v>0</v>
      </c>
      <c r="E159" s="56">
        <f>K158*0.85</f>
        <v>0</v>
      </c>
      <c r="F159" s="56">
        <f>L158*0.85</f>
        <v>0</v>
      </c>
      <c r="G159" s="56">
        <f>M158*0.85</f>
        <v>0</v>
      </c>
      <c r="H159" s="53"/>
      <c r="I159" s="125"/>
      <c r="J159" s="125"/>
      <c r="K159" s="125"/>
      <c r="L159" s="125"/>
      <c r="M159" s="126"/>
      <c r="IJ159" s="55"/>
      <c r="IK159" s="55"/>
      <c r="IL159" s="55"/>
      <c r="IM159" s="55"/>
      <c r="IN159" s="55"/>
    </row>
    <row r="160" spans="1:248" s="54" customFormat="1" ht="16.5" customHeight="1">
      <c r="A160" s="30" t="s">
        <v>17</v>
      </c>
      <c r="B160" s="41"/>
      <c r="C160" s="56">
        <f>D160+E160+F160+G160</f>
        <v>155</v>
      </c>
      <c r="D160" s="56">
        <v>0</v>
      </c>
      <c r="E160" s="56">
        <v>155</v>
      </c>
      <c r="F160" s="56">
        <f>L160</f>
        <v>0</v>
      </c>
      <c r="G160" s="56">
        <f>M160</f>
        <v>0</v>
      </c>
      <c r="H160" s="53"/>
      <c r="I160" s="53"/>
      <c r="J160" s="53"/>
      <c r="K160" s="53"/>
      <c r="L160" s="53"/>
      <c r="IJ160" s="55"/>
      <c r="IK160" s="55"/>
      <c r="IL160" s="55"/>
      <c r="IM160" s="55"/>
      <c r="IN160" s="55"/>
    </row>
    <row r="161" spans="1:248" s="54" customFormat="1" ht="16.5" customHeight="1" hidden="1">
      <c r="A161" s="30"/>
      <c r="B161" s="41"/>
      <c r="C161" s="56"/>
      <c r="D161" s="56"/>
      <c r="E161" s="56"/>
      <c r="F161" s="56"/>
      <c r="G161" s="56"/>
      <c r="H161" s="53"/>
      <c r="I161" s="53"/>
      <c r="J161" s="57"/>
      <c r="K161" s="58"/>
      <c r="L161" s="58"/>
      <c r="IJ161" s="55"/>
      <c r="IK161" s="55"/>
      <c r="IL161" s="55"/>
      <c r="IM161" s="55"/>
      <c r="IN161" s="55"/>
    </row>
    <row r="162" spans="1:248" s="63" customFormat="1" ht="16.5" customHeight="1" hidden="1">
      <c r="A162" s="31"/>
      <c r="B162" s="47"/>
      <c r="C162" s="59">
        <f>C163+C164+C165+C167+C166</f>
        <v>155</v>
      </c>
      <c r="D162" s="59">
        <f>D163+D164+D165+D167+D166</f>
        <v>0</v>
      </c>
      <c r="E162" s="59">
        <f>E163+E164+E165+E167+E166</f>
        <v>155</v>
      </c>
      <c r="F162" s="59">
        <f>F163+F164+F165+F167+F166</f>
        <v>0</v>
      </c>
      <c r="G162" s="59">
        <f>G163+G164+G165+G167+G166</f>
        <v>0</v>
      </c>
      <c r="H162" s="60"/>
      <c r="I162" s="60"/>
      <c r="J162" s="61"/>
      <c r="K162" s="62"/>
      <c r="L162" s="62"/>
      <c r="IJ162" s="64"/>
      <c r="IK162" s="64"/>
      <c r="IL162" s="64"/>
      <c r="IM162" s="64"/>
      <c r="IN162" s="64"/>
    </row>
    <row r="163" spans="1:248" s="54" customFormat="1" ht="16.5" customHeight="1" hidden="1">
      <c r="A163" s="30" t="s">
        <v>18</v>
      </c>
      <c r="B163" s="41"/>
      <c r="C163" s="65">
        <f aca="true" t="shared" si="3" ref="C163:C171">D163+E163+F163+G163</f>
        <v>0</v>
      </c>
      <c r="D163" s="65">
        <f>J158*0.13</f>
        <v>0</v>
      </c>
      <c r="E163" s="65">
        <f>K158*0.13</f>
        <v>0</v>
      </c>
      <c r="F163" s="65">
        <f>L158*0.13</f>
        <v>0</v>
      </c>
      <c r="G163" s="65">
        <f>M158*0.13</f>
        <v>0</v>
      </c>
      <c r="H163" s="53"/>
      <c r="I163" s="53"/>
      <c r="J163" s="57"/>
      <c r="K163" s="58"/>
      <c r="L163" s="58"/>
      <c r="IJ163" s="55"/>
      <c r="IK163" s="55"/>
      <c r="IL163" s="55"/>
      <c r="IM163" s="55"/>
      <c r="IN163" s="55"/>
    </row>
    <row r="164" spans="1:248" s="54" customFormat="1" ht="16.5" customHeight="1" hidden="1">
      <c r="A164" s="30" t="s">
        <v>19</v>
      </c>
      <c r="B164" s="41"/>
      <c r="C164" s="65">
        <f t="shared" si="3"/>
        <v>0</v>
      </c>
      <c r="D164" s="65">
        <f>J158*0.85</f>
        <v>0</v>
      </c>
      <c r="E164" s="65">
        <f>K158*0.85</f>
        <v>0</v>
      </c>
      <c r="F164" s="65">
        <f>L158*0.85</f>
        <v>0</v>
      </c>
      <c r="G164" s="65">
        <f>M158*0.85</f>
        <v>0</v>
      </c>
      <c r="H164" s="53"/>
      <c r="I164" s="53"/>
      <c r="J164" s="57"/>
      <c r="K164" s="58"/>
      <c r="L164" s="58"/>
      <c r="IJ164" s="55"/>
      <c r="IK164" s="55"/>
      <c r="IL164" s="55"/>
      <c r="IM164" s="55"/>
      <c r="IN164" s="55"/>
    </row>
    <row r="165" spans="1:248" s="54" customFormat="1" ht="16.5" customHeight="1" hidden="1">
      <c r="A165" s="30" t="s">
        <v>20</v>
      </c>
      <c r="B165" s="41"/>
      <c r="C165" s="65">
        <f t="shared" si="3"/>
        <v>0</v>
      </c>
      <c r="D165" s="65"/>
      <c r="E165" s="65"/>
      <c r="F165" s="65"/>
      <c r="G165" s="65"/>
      <c r="H165" s="53"/>
      <c r="I165" s="53"/>
      <c r="J165" s="57"/>
      <c r="K165" s="58"/>
      <c r="L165" s="58"/>
      <c r="IJ165" s="55"/>
      <c r="IK165" s="55"/>
      <c r="IL165" s="55"/>
      <c r="IM165" s="55"/>
      <c r="IN165" s="55"/>
    </row>
    <row r="166" spans="1:248" s="54" customFormat="1" ht="16.5" customHeight="1" hidden="1">
      <c r="A166" s="30" t="s">
        <v>30</v>
      </c>
      <c r="B166" s="41"/>
      <c r="C166" s="65">
        <f t="shared" si="3"/>
        <v>0</v>
      </c>
      <c r="D166" s="65"/>
      <c r="E166" s="65"/>
      <c r="F166" s="65"/>
      <c r="G166" s="65">
        <v>0</v>
      </c>
      <c r="H166" s="53"/>
      <c r="I166" s="53"/>
      <c r="J166" s="57"/>
      <c r="K166" s="58"/>
      <c r="L166" s="58"/>
      <c r="IJ166" s="55"/>
      <c r="IK166" s="55"/>
      <c r="IL166" s="55"/>
      <c r="IM166" s="55"/>
      <c r="IN166" s="55"/>
    </row>
    <row r="167" spans="1:248" s="68" customFormat="1" ht="14.25" hidden="1">
      <c r="A167" s="35" t="s">
        <v>21</v>
      </c>
      <c r="B167" s="66"/>
      <c r="C167" s="67">
        <f t="shared" si="3"/>
        <v>155</v>
      </c>
      <c r="D167" s="65">
        <v>0</v>
      </c>
      <c r="E167" s="65">
        <f>E160</f>
        <v>155</v>
      </c>
      <c r="F167" s="65">
        <f>L158*2/100+L160</f>
        <v>0</v>
      </c>
      <c r="G167" s="65">
        <f>M158*2/100+M160</f>
        <v>0</v>
      </c>
      <c r="H167" s="57"/>
      <c r="I167" s="57"/>
      <c r="J167" s="57"/>
      <c r="K167" s="57"/>
      <c r="L167" s="57"/>
      <c r="IJ167" s="69"/>
      <c r="IK167" s="69"/>
      <c r="IL167" s="69"/>
      <c r="IM167" s="69"/>
      <c r="IN167" s="69"/>
    </row>
    <row r="168" spans="1:248" s="68" customFormat="1" ht="16.5" customHeight="1">
      <c r="A168" s="86" t="s">
        <v>45</v>
      </c>
      <c r="B168" s="47" t="s">
        <v>47</v>
      </c>
      <c r="C168" s="23">
        <f t="shared" si="3"/>
        <v>560</v>
      </c>
      <c r="D168" s="74">
        <f>D169+D170+D171</f>
        <v>560</v>
      </c>
      <c r="E168" s="74">
        <v>0</v>
      </c>
      <c r="F168" s="74">
        <v>0</v>
      </c>
      <c r="G168" s="74">
        <v>0</v>
      </c>
      <c r="H168" s="57"/>
      <c r="I168" s="57"/>
      <c r="J168" s="57"/>
      <c r="K168" s="57"/>
      <c r="L168" s="57"/>
      <c r="IJ168" s="69"/>
      <c r="IK168" s="69"/>
      <c r="IL168" s="69"/>
      <c r="IM168" s="69"/>
      <c r="IN168" s="69"/>
    </row>
    <row r="169" spans="1:248" s="68" customFormat="1" ht="16.5" customHeight="1">
      <c r="A169" s="26" t="s">
        <v>15</v>
      </c>
      <c r="B169" s="123"/>
      <c r="C169" s="56">
        <f t="shared" si="3"/>
        <v>84</v>
      </c>
      <c r="D169" s="56">
        <v>84</v>
      </c>
      <c r="E169" s="56">
        <v>0</v>
      </c>
      <c r="F169" s="56">
        <v>0</v>
      </c>
      <c r="G169" s="56">
        <v>0</v>
      </c>
      <c r="H169" s="57"/>
      <c r="I169" s="57"/>
      <c r="J169" s="57"/>
      <c r="K169" s="57"/>
      <c r="L169" s="57"/>
      <c r="IJ169" s="69"/>
      <c r="IK169" s="69"/>
      <c r="IL169" s="69"/>
      <c r="IM169" s="69"/>
      <c r="IN169" s="69"/>
    </row>
    <row r="170" spans="1:248" s="68" customFormat="1" ht="16.5" customHeight="1">
      <c r="A170" s="30" t="s">
        <v>16</v>
      </c>
      <c r="B170" s="123"/>
      <c r="C170" s="56">
        <f t="shared" si="3"/>
        <v>476</v>
      </c>
      <c r="D170" s="56">
        <v>476</v>
      </c>
      <c r="E170" s="56">
        <v>0</v>
      </c>
      <c r="F170" s="56">
        <v>0</v>
      </c>
      <c r="G170" s="56">
        <v>0</v>
      </c>
      <c r="H170" s="57"/>
      <c r="I170" s="57"/>
      <c r="J170" s="57"/>
      <c r="K170" s="57"/>
      <c r="L170" s="57"/>
      <c r="IJ170" s="69"/>
      <c r="IK170" s="69"/>
      <c r="IL170" s="69"/>
      <c r="IM170" s="69"/>
      <c r="IN170" s="69"/>
    </row>
    <row r="171" spans="1:248" s="68" customFormat="1" ht="16.5" customHeight="1">
      <c r="A171" s="30" t="s">
        <v>17</v>
      </c>
      <c r="B171" s="123"/>
      <c r="C171" s="56">
        <f t="shared" si="3"/>
        <v>0</v>
      </c>
      <c r="D171" s="56">
        <v>0</v>
      </c>
      <c r="E171" s="56">
        <v>0</v>
      </c>
      <c r="F171" s="56">
        <v>0</v>
      </c>
      <c r="G171" s="56">
        <v>0</v>
      </c>
      <c r="H171" s="57"/>
      <c r="I171" s="57"/>
      <c r="J171" s="57"/>
      <c r="K171" s="57"/>
      <c r="L171" s="57"/>
      <c r="IJ171" s="69"/>
      <c r="IK171" s="69"/>
      <c r="IL171" s="69"/>
      <c r="IM171" s="69"/>
      <c r="IN171" s="69"/>
    </row>
    <row r="172" spans="1:248" s="68" customFormat="1" ht="16.5" customHeight="1" hidden="1">
      <c r="A172" s="30"/>
      <c r="B172" s="41"/>
      <c r="C172" s="56"/>
      <c r="D172" s="56"/>
      <c r="E172" s="56"/>
      <c r="F172" s="56"/>
      <c r="G172" s="56"/>
      <c r="H172" s="57"/>
      <c r="I172" s="57"/>
      <c r="J172" s="57"/>
      <c r="K172" s="57"/>
      <c r="L172" s="57"/>
      <c r="IJ172" s="69"/>
      <c r="IK172" s="69"/>
      <c r="IL172" s="69"/>
      <c r="IM172" s="69"/>
      <c r="IN172" s="69"/>
    </row>
    <row r="173" spans="1:248" s="68" customFormat="1" ht="16.5" customHeight="1" hidden="1">
      <c r="A173" s="31"/>
      <c r="B173" s="47"/>
      <c r="C173" s="74">
        <f>C174+C175+C176+C177</f>
        <v>4137</v>
      </c>
      <c r="D173" s="74">
        <f>D174+D175+D176+D177</f>
        <v>560</v>
      </c>
      <c r="E173" s="74">
        <v>850</v>
      </c>
      <c r="F173" s="74">
        <v>2207</v>
      </c>
      <c r="G173" s="74">
        <v>520</v>
      </c>
      <c r="H173" s="57"/>
      <c r="I173" s="57"/>
      <c r="J173" s="57"/>
      <c r="K173" s="57"/>
      <c r="L173" s="57"/>
      <c r="IJ173" s="69"/>
      <c r="IK173" s="69"/>
      <c r="IL173" s="69"/>
      <c r="IM173" s="69"/>
      <c r="IN173" s="69"/>
    </row>
    <row r="174" spans="1:248" s="68" customFormat="1" ht="16.5" customHeight="1" hidden="1">
      <c r="A174" s="30" t="s">
        <v>18</v>
      </c>
      <c r="B174" s="41"/>
      <c r="C174" s="56">
        <f>SUM(D174:G174)</f>
        <v>609.55</v>
      </c>
      <c r="D174" s="56">
        <v>73</v>
      </c>
      <c r="E174" s="56">
        <f>E173*15%</f>
        <v>127.5</v>
      </c>
      <c r="F174" s="56">
        <f>F173*15%</f>
        <v>331.05</v>
      </c>
      <c r="G174" s="56">
        <f>G173*15%</f>
        <v>78</v>
      </c>
      <c r="H174" s="57"/>
      <c r="I174" s="57"/>
      <c r="J174" s="57"/>
      <c r="K174" s="57"/>
      <c r="L174" s="57"/>
      <c r="IJ174" s="69"/>
      <c r="IK174" s="69"/>
      <c r="IL174" s="69"/>
      <c r="IM174" s="69"/>
      <c r="IN174" s="69"/>
    </row>
    <row r="175" spans="1:248" s="68" customFormat="1" ht="16.5" customHeight="1" hidden="1">
      <c r="A175" s="30" t="s">
        <v>19</v>
      </c>
      <c r="B175" s="41"/>
      <c r="C175" s="56">
        <f>SUM(D175:G175)</f>
        <v>476</v>
      </c>
      <c r="D175" s="56">
        <v>476</v>
      </c>
      <c r="E175" s="56">
        <v>0</v>
      </c>
      <c r="F175" s="56">
        <v>0</v>
      </c>
      <c r="G175" s="56">
        <v>0</v>
      </c>
      <c r="H175" s="57"/>
      <c r="I175" s="57"/>
      <c r="J175" s="57"/>
      <c r="K175" s="57"/>
      <c r="L175" s="57"/>
      <c r="IJ175" s="69"/>
      <c r="IK175" s="69"/>
      <c r="IL175" s="69"/>
      <c r="IM175" s="69"/>
      <c r="IN175" s="69"/>
    </row>
    <row r="176" spans="1:248" s="68" customFormat="1" ht="16.5" customHeight="1" hidden="1">
      <c r="A176" s="30" t="s">
        <v>20</v>
      </c>
      <c r="B176" s="41"/>
      <c r="C176" s="56">
        <f>SUM(D176:G176)</f>
        <v>3040.45</v>
      </c>
      <c r="D176" s="56">
        <v>0</v>
      </c>
      <c r="E176" s="56">
        <f>E173*0.85</f>
        <v>722.5</v>
      </c>
      <c r="F176" s="56">
        <f>F173*0.85</f>
        <v>1875.95</v>
      </c>
      <c r="G176" s="56">
        <f>G173*0.85</f>
        <v>442</v>
      </c>
      <c r="H176" s="57"/>
      <c r="I176" s="57"/>
      <c r="J176" s="57"/>
      <c r="K176" s="57"/>
      <c r="L176" s="57"/>
      <c r="IJ176" s="69"/>
      <c r="IK176" s="69"/>
      <c r="IL176" s="69"/>
      <c r="IM176" s="69"/>
      <c r="IN176" s="69"/>
    </row>
    <row r="177" spans="1:248" s="68" customFormat="1" ht="26.25" customHeight="1" hidden="1">
      <c r="A177" s="35" t="s">
        <v>21</v>
      </c>
      <c r="B177" s="66"/>
      <c r="C177" s="84">
        <f>SUM(D177:G177)</f>
        <v>11</v>
      </c>
      <c r="D177" s="65">
        <v>11</v>
      </c>
      <c r="E177" s="65">
        <v>0</v>
      </c>
      <c r="F177" s="65">
        <v>0</v>
      </c>
      <c r="G177" s="65">
        <v>0</v>
      </c>
      <c r="H177" s="57"/>
      <c r="I177" s="57"/>
      <c r="J177" s="57"/>
      <c r="K177" s="57"/>
      <c r="L177" s="57"/>
      <c r="IJ177" s="69"/>
      <c r="IK177" s="69"/>
      <c r="IL177" s="69"/>
      <c r="IM177" s="69"/>
      <c r="IN177" s="69"/>
    </row>
    <row r="178" spans="1:248" s="68" customFormat="1" ht="31.5" customHeight="1">
      <c r="A178" s="86" t="s">
        <v>48</v>
      </c>
      <c r="B178" s="47" t="s">
        <v>49</v>
      </c>
      <c r="C178" s="23">
        <f>D178+E178+F178+G178</f>
        <v>160</v>
      </c>
      <c r="D178" s="23">
        <f>SUM(D179:D181)</f>
        <v>40</v>
      </c>
      <c r="E178" s="23">
        <f>SUM(E179:E181)</f>
        <v>40</v>
      </c>
      <c r="F178" s="23">
        <f>SUM(F179:F181)</f>
        <v>40</v>
      </c>
      <c r="G178" s="23">
        <f>SUM(G179:G181)</f>
        <v>40</v>
      </c>
      <c r="H178" s="57"/>
      <c r="I178" s="57"/>
      <c r="J178" s="57"/>
      <c r="K178" s="57"/>
      <c r="L178" s="57"/>
      <c r="IJ178" s="69"/>
      <c r="IK178" s="69"/>
      <c r="IL178" s="69"/>
      <c r="IM178" s="69"/>
      <c r="IN178" s="69"/>
    </row>
    <row r="179" spans="1:248" s="68" customFormat="1" ht="16.5" customHeight="1">
      <c r="A179" s="26" t="s">
        <v>15</v>
      </c>
      <c r="B179" s="41"/>
      <c r="C179" s="56">
        <f>D179+E179+F179+G179</f>
        <v>24</v>
      </c>
      <c r="D179" s="56">
        <v>6</v>
      </c>
      <c r="E179" s="56">
        <v>6</v>
      </c>
      <c r="F179" s="56">
        <v>6</v>
      </c>
      <c r="G179" s="56">
        <v>6</v>
      </c>
      <c r="H179" s="57"/>
      <c r="I179" s="57"/>
      <c r="J179" s="57"/>
      <c r="K179" s="57"/>
      <c r="L179" s="57"/>
      <c r="IJ179" s="69"/>
      <c r="IK179" s="69"/>
      <c r="IL179" s="69"/>
      <c r="IM179" s="69"/>
      <c r="IN179" s="69"/>
    </row>
    <row r="180" spans="1:248" s="68" customFormat="1" ht="16.5" customHeight="1">
      <c r="A180" s="30" t="s">
        <v>16</v>
      </c>
      <c r="B180" s="41"/>
      <c r="C180" s="56">
        <f>D180+E180+F180+G180</f>
        <v>136</v>
      </c>
      <c r="D180" s="56">
        <v>34</v>
      </c>
      <c r="E180" s="56">
        <v>34</v>
      </c>
      <c r="F180" s="56">
        <v>34</v>
      </c>
      <c r="G180" s="56">
        <v>34</v>
      </c>
      <c r="H180" s="57"/>
      <c r="I180" s="57"/>
      <c r="J180" s="57"/>
      <c r="K180" s="57"/>
      <c r="L180" s="57"/>
      <c r="IJ180" s="69"/>
      <c r="IK180" s="69"/>
      <c r="IL180" s="69"/>
      <c r="IM180" s="69"/>
      <c r="IN180" s="69"/>
    </row>
    <row r="181" spans="1:248" s="68" customFormat="1" ht="16.5" customHeight="1">
      <c r="A181" s="30" t="s">
        <v>17</v>
      </c>
      <c r="B181" s="41"/>
      <c r="C181" s="56">
        <f>D181+E181+F181+G181</f>
        <v>0</v>
      </c>
      <c r="D181" s="56">
        <v>0</v>
      </c>
      <c r="E181" s="56">
        <v>0</v>
      </c>
      <c r="F181" s="56">
        <v>0</v>
      </c>
      <c r="G181" s="56">
        <v>0</v>
      </c>
      <c r="H181" s="57"/>
      <c r="I181" s="57"/>
      <c r="J181" s="57"/>
      <c r="K181" s="57"/>
      <c r="L181" s="57"/>
      <c r="IJ181" s="69"/>
      <c r="IK181" s="69"/>
      <c r="IL181" s="69"/>
      <c r="IM181" s="69"/>
      <c r="IN181" s="69"/>
    </row>
    <row r="182" spans="1:248" s="68" customFormat="1" ht="16.5" customHeight="1" hidden="1">
      <c r="A182" s="30"/>
      <c r="B182" s="41"/>
      <c r="C182" s="56"/>
      <c r="D182" s="56"/>
      <c r="E182" s="56"/>
      <c r="F182" s="56"/>
      <c r="G182" s="56"/>
      <c r="H182" s="57"/>
      <c r="I182" s="57"/>
      <c r="J182" s="57"/>
      <c r="K182" s="57"/>
      <c r="L182" s="57"/>
      <c r="IJ182" s="69"/>
      <c r="IK182" s="69"/>
      <c r="IL182" s="69"/>
      <c r="IM182" s="69"/>
      <c r="IN182" s="69"/>
    </row>
    <row r="183" spans="1:248" s="68" customFormat="1" ht="16.5" customHeight="1" hidden="1">
      <c r="A183" s="31"/>
      <c r="B183" s="47"/>
      <c r="C183" s="74">
        <f>C184+C185+C186+C187</f>
        <v>160</v>
      </c>
      <c r="D183" s="74">
        <f>D184+D185+D186+D187</f>
        <v>40</v>
      </c>
      <c r="E183" s="74">
        <f>E184+E185+E186+E187</f>
        <v>40</v>
      </c>
      <c r="F183" s="74">
        <f>F184+F185+F186+F187</f>
        <v>40</v>
      </c>
      <c r="G183" s="74">
        <f>G184+G185+G186+G187</f>
        <v>40</v>
      </c>
      <c r="H183" s="57"/>
      <c r="I183" s="57"/>
      <c r="J183" s="57"/>
      <c r="K183" s="57"/>
      <c r="L183" s="57"/>
      <c r="IJ183" s="69"/>
      <c r="IK183" s="69"/>
      <c r="IL183" s="69"/>
      <c r="IM183" s="69"/>
      <c r="IN183" s="69"/>
    </row>
    <row r="184" spans="1:248" s="68" customFormat="1" ht="16.5" customHeight="1" hidden="1">
      <c r="A184" s="30" t="s">
        <v>18</v>
      </c>
      <c r="B184" s="41"/>
      <c r="C184" s="56">
        <f>SUM(D184:G184)</f>
        <v>20</v>
      </c>
      <c r="D184" s="56">
        <v>5</v>
      </c>
      <c r="E184" s="56">
        <v>5</v>
      </c>
      <c r="F184" s="56">
        <v>5</v>
      </c>
      <c r="G184" s="56">
        <v>5</v>
      </c>
      <c r="H184" s="57"/>
      <c r="I184" s="57"/>
      <c r="J184" s="57"/>
      <c r="K184" s="57"/>
      <c r="L184" s="57"/>
      <c r="IJ184" s="69"/>
      <c r="IK184" s="69"/>
      <c r="IL184" s="69"/>
      <c r="IM184" s="69"/>
      <c r="IN184" s="69"/>
    </row>
    <row r="185" spans="1:248" s="68" customFormat="1" ht="16.5" customHeight="1" hidden="1">
      <c r="A185" s="30" t="s">
        <v>19</v>
      </c>
      <c r="B185" s="41"/>
      <c r="C185" s="56">
        <f>SUM(D185:G185)</f>
        <v>136</v>
      </c>
      <c r="D185" s="56">
        <v>34</v>
      </c>
      <c r="E185" s="56">
        <v>34</v>
      </c>
      <c r="F185" s="56">
        <v>34</v>
      </c>
      <c r="G185" s="56">
        <v>34</v>
      </c>
      <c r="H185" s="57"/>
      <c r="I185" s="57"/>
      <c r="J185" s="57"/>
      <c r="K185" s="57"/>
      <c r="L185" s="57"/>
      <c r="IJ185" s="69"/>
      <c r="IK185" s="69"/>
      <c r="IL185" s="69"/>
      <c r="IM185" s="69"/>
      <c r="IN185" s="69"/>
    </row>
    <row r="186" spans="1:248" s="68" customFormat="1" ht="16.5" customHeight="1" hidden="1">
      <c r="A186" s="30" t="s">
        <v>20</v>
      </c>
      <c r="B186" s="41"/>
      <c r="C186" s="56">
        <f>SUM(D186:G186)</f>
        <v>0</v>
      </c>
      <c r="D186" s="56">
        <v>0</v>
      </c>
      <c r="E186" s="56">
        <v>0</v>
      </c>
      <c r="F186" s="56">
        <v>0</v>
      </c>
      <c r="G186" s="56">
        <v>0</v>
      </c>
      <c r="H186" s="57"/>
      <c r="I186" s="57"/>
      <c r="J186" s="57"/>
      <c r="K186" s="57"/>
      <c r="L186" s="57"/>
      <c r="IJ186" s="69"/>
      <c r="IK186" s="69"/>
      <c r="IL186" s="69"/>
      <c r="IM186" s="69"/>
      <c r="IN186" s="69"/>
    </row>
    <row r="187" spans="1:248" s="68" customFormat="1" ht="30.75" customHeight="1" hidden="1">
      <c r="A187" s="35" t="s">
        <v>21</v>
      </c>
      <c r="B187" s="66"/>
      <c r="C187" s="84">
        <f>SUM(D187:G187)</f>
        <v>4</v>
      </c>
      <c r="D187" s="65">
        <v>1</v>
      </c>
      <c r="E187" s="65">
        <v>1</v>
      </c>
      <c r="F187" s="65">
        <v>1</v>
      </c>
      <c r="G187" s="65">
        <v>1</v>
      </c>
      <c r="H187" s="57"/>
      <c r="I187" s="57"/>
      <c r="J187" s="57"/>
      <c r="K187" s="57"/>
      <c r="L187" s="57"/>
      <c r="IJ187" s="69"/>
      <c r="IK187" s="69"/>
      <c r="IL187" s="69"/>
      <c r="IM187" s="69"/>
      <c r="IN187" s="69"/>
    </row>
    <row r="188" spans="1:248" s="63" customFormat="1" ht="16.5" customHeight="1">
      <c r="A188" s="130" t="s">
        <v>50</v>
      </c>
      <c r="B188" s="130"/>
      <c r="C188" s="32">
        <f>C168+C178+C157</f>
        <v>875</v>
      </c>
      <c r="D188" s="32">
        <f>D168+D178+D157</f>
        <v>600</v>
      </c>
      <c r="E188" s="32">
        <f>E168+E178+E157</f>
        <v>195</v>
      </c>
      <c r="F188" s="32">
        <f>F168+F178+F157</f>
        <v>40</v>
      </c>
      <c r="G188" s="32">
        <f>G168+G178+G157</f>
        <v>40</v>
      </c>
      <c r="H188" s="60"/>
      <c r="I188" s="60"/>
      <c r="J188" s="61"/>
      <c r="K188" s="62"/>
      <c r="L188" s="62"/>
      <c r="IJ188" s="64"/>
      <c r="IK188" s="64"/>
      <c r="IL188" s="64"/>
      <c r="IM188" s="64"/>
      <c r="IN188" s="64"/>
    </row>
    <row r="189" spans="1:248" s="54" customFormat="1" ht="15" customHeight="1">
      <c r="A189" s="132" t="s">
        <v>51</v>
      </c>
      <c r="B189" s="132"/>
      <c r="C189" s="132"/>
      <c r="D189" s="27"/>
      <c r="E189" s="27"/>
      <c r="F189" s="27"/>
      <c r="G189" s="88"/>
      <c r="H189" s="53"/>
      <c r="I189" s="53"/>
      <c r="J189" s="57"/>
      <c r="K189" s="58"/>
      <c r="L189" s="58"/>
      <c r="IJ189" s="55"/>
      <c r="IK189" s="55"/>
      <c r="IL189" s="55"/>
      <c r="IM189" s="55"/>
      <c r="IN189" s="55"/>
    </row>
    <row r="190" spans="1:248" s="54" customFormat="1" ht="30" customHeight="1">
      <c r="A190" s="52" t="s">
        <v>52</v>
      </c>
      <c r="B190" s="21" t="s">
        <v>53</v>
      </c>
      <c r="C190" s="23">
        <f>D190+E190+F190+G190</f>
        <v>6264</v>
      </c>
      <c r="D190" s="23">
        <f>D191+D192+D193</f>
        <v>45</v>
      </c>
      <c r="E190" s="23">
        <f>E191+E192+E193</f>
        <v>1845</v>
      </c>
      <c r="F190" s="23">
        <f>F191+F192+F193</f>
        <v>2062</v>
      </c>
      <c r="G190" s="23">
        <f>G191+G192+G193</f>
        <v>2312</v>
      </c>
      <c r="H190" s="53"/>
      <c r="I190" s="53"/>
      <c r="J190" s="57"/>
      <c r="K190" s="58"/>
      <c r="L190" s="58"/>
      <c r="IJ190" s="55"/>
      <c r="IK190" s="55"/>
      <c r="IL190" s="55"/>
      <c r="IM190" s="55"/>
      <c r="IN190" s="55"/>
    </row>
    <row r="191" spans="1:248" s="54" customFormat="1" ht="16.5" customHeight="1">
      <c r="A191" s="26" t="s">
        <v>15</v>
      </c>
      <c r="B191" s="124"/>
      <c r="C191" s="56">
        <f>D191+E191+F191+G191</f>
        <v>880</v>
      </c>
      <c r="D191" s="56">
        <v>7</v>
      </c>
      <c r="E191" s="56">
        <v>277</v>
      </c>
      <c r="F191" s="56">
        <v>279</v>
      </c>
      <c r="G191" s="56">
        <v>317</v>
      </c>
      <c r="H191" s="53"/>
      <c r="I191" s="53"/>
      <c r="J191" s="57"/>
      <c r="K191" s="58"/>
      <c r="L191" s="58"/>
      <c r="IJ191" s="55"/>
      <c r="IK191" s="55"/>
      <c r="IL191" s="55"/>
      <c r="IM191" s="55"/>
      <c r="IN191" s="55"/>
    </row>
    <row r="192" spans="1:248" s="54" customFormat="1" ht="16.5" customHeight="1">
      <c r="A192" s="30" t="s">
        <v>16</v>
      </c>
      <c r="B192" s="124"/>
      <c r="C192" s="56">
        <f>D192+E192+F192+G192</f>
        <v>4984</v>
      </c>
      <c r="D192" s="56">
        <v>38</v>
      </c>
      <c r="E192" s="56">
        <v>1568</v>
      </c>
      <c r="F192" s="56">
        <v>1583</v>
      </c>
      <c r="G192" s="56">
        <v>1795</v>
      </c>
      <c r="H192" s="53"/>
      <c r="I192" s="53"/>
      <c r="J192" s="57"/>
      <c r="K192" s="58"/>
      <c r="L192" s="58"/>
      <c r="IJ192" s="55"/>
      <c r="IK192" s="55"/>
      <c r="IL192" s="55"/>
      <c r="IM192" s="55"/>
      <c r="IN192" s="55"/>
    </row>
    <row r="193" spans="1:248" s="54" customFormat="1" ht="16.5" customHeight="1">
      <c r="A193" s="30" t="s">
        <v>17</v>
      </c>
      <c r="B193" s="124"/>
      <c r="C193" s="56">
        <f>D193+E193+F193+G193</f>
        <v>400</v>
      </c>
      <c r="D193" s="56">
        <v>0</v>
      </c>
      <c r="E193" s="56">
        <v>0</v>
      </c>
      <c r="F193" s="56">
        <v>200</v>
      </c>
      <c r="G193" s="56">
        <v>200</v>
      </c>
      <c r="H193" s="53"/>
      <c r="I193" s="53"/>
      <c r="J193" s="57"/>
      <c r="K193" s="58"/>
      <c r="L193" s="58"/>
      <c r="IJ193" s="55"/>
      <c r="IK193" s="55"/>
      <c r="IL193" s="55"/>
      <c r="IM193" s="55"/>
      <c r="IN193" s="55"/>
    </row>
    <row r="194" spans="1:248" s="54" customFormat="1" ht="16.5" customHeight="1" hidden="1">
      <c r="A194" s="30"/>
      <c r="B194" s="124"/>
      <c r="C194" s="56"/>
      <c r="D194" s="56"/>
      <c r="E194" s="56"/>
      <c r="F194" s="56"/>
      <c r="G194" s="56"/>
      <c r="H194" s="53"/>
      <c r="I194" s="53"/>
      <c r="J194" s="57"/>
      <c r="K194" s="58"/>
      <c r="L194" s="58"/>
      <c r="IJ194" s="55"/>
      <c r="IK194" s="55"/>
      <c r="IL194" s="55"/>
      <c r="IM194" s="55"/>
      <c r="IN194" s="55"/>
    </row>
    <row r="195" spans="1:248" s="63" customFormat="1" ht="16.5" customHeight="1" hidden="1">
      <c r="A195" s="31"/>
      <c r="B195" s="124"/>
      <c r="C195" s="74">
        <f>C196+C197+C198+C199</f>
        <v>6264</v>
      </c>
      <c r="D195" s="74">
        <f>D196+D197+D198+D199</f>
        <v>45</v>
      </c>
      <c r="E195" s="74">
        <f>E196+E197+E198+E199</f>
        <v>1845</v>
      </c>
      <c r="F195" s="74">
        <f>F196+F197+F198+F199</f>
        <v>2062</v>
      </c>
      <c r="G195" s="74">
        <f>G196+G197+G198+G199</f>
        <v>2312</v>
      </c>
      <c r="H195" s="60"/>
      <c r="I195" s="60"/>
      <c r="J195" s="61"/>
      <c r="K195" s="62"/>
      <c r="L195" s="62"/>
      <c r="IJ195" s="64"/>
      <c r="IK195" s="64"/>
      <c r="IL195" s="64"/>
      <c r="IM195" s="64"/>
      <c r="IN195" s="64"/>
    </row>
    <row r="196" spans="1:248" s="54" customFormat="1" ht="16.5" customHeight="1" hidden="1">
      <c r="A196" s="30" t="s">
        <v>18</v>
      </c>
      <c r="B196" s="41"/>
      <c r="C196" s="56">
        <f>SUM(D196:G196)</f>
        <v>551</v>
      </c>
      <c r="D196" s="56">
        <v>1</v>
      </c>
      <c r="E196" s="56">
        <v>4</v>
      </c>
      <c r="F196" s="56">
        <v>273</v>
      </c>
      <c r="G196" s="56">
        <v>273</v>
      </c>
      <c r="H196" s="53"/>
      <c r="I196" s="53"/>
      <c r="J196" s="57"/>
      <c r="K196" s="58"/>
      <c r="L196" s="58"/>
      <c r="IJ196" s="55"/>
      <c r="IK196" s="55"/>
      <c r="IL196" s="55"/>
      <c r="IM196" s="55"/>
      <c r="IN196" s="55"/>
    </row>
    <row r="197" spans="1:248" s="54" customFormat="1" ht="16.5" customHeight="1" hidden="1">
      <c r="A197" s="30" t="s">
        <v>19</v>
      </c>
      <c r="B197" s="41"/>
      <c r="C197" s="56">
        <f>SUM(D197:G197)</f>
        <v>4984</v>
      </c>
      <c r="D197" s="56">
        <v>38</v>
      </c>
      <c r="E197" s="56">
        <v>1568</v>
      </c>
      <c r="F197" s="56">
        <v>1583</v>
      </c>
      <c r="G197" s="56">
        <v>1795</v>
      </c>
      <c r="H197" s="53"/>
      <c r="I197" s="53"/>
      <c r="J197" s="57"/>
      <c r="K197" s="58"/>
      <c r="L197" s="58"/>
      <c r="IJ197" s="55"/>
      <c r="IK197" s="55"/>
      <c r="IL197" s="55"/>
      <c r="IM197" s="55"/>
      <c r="IN197" s="55"/>
    </row>
    <row r="198" spans="1:248" s="54" customFormat="1" ht="16.5" customHeight="1" hidden="1">
      <c r="A198" s="30" t="s">
        <v>20</v>
      </c>
      <c r="B198" s="41"/>
      <c r="C198" s="56">
        <f>SUM(D198:G198)</f>
        <v>0</v>
      </c>
      <c r="D198" s="56">
        <v>0</v>
      </c>
      <c r="E198" s="56">
        <v>0</v>
      </c>
      <c r="F198" s="56">
        <v>0</v>
      </c>
      <c r="G198" s="56">
        <v>0</v>
      </c>
      <c r="H198" s="53"/>
      <c r="I198" s="53"/>
      <c r="J198" s="57"/>
      <c r="K198" s="58"/>
      <c r="L198" s="58"/>
      <c r="IJ198" s="55"/>
      <c r="IK198" s="55"/>
      <c r="IL198" s="55"/>
      <c r="IM198" s="55"/>
      <c r="IN198" s="55"/>
    </row>
    <row r="199" spans="1:248" s="68" customFormat="1" ht="14.25" hidden="1">
      <c r="A199" s="35" t="s">
        <v>21</v>
      </c>
      <c r="B199" s="66"/>
      <c r="C199" s="84">
        <f>SUM(D199:G199)</f>
        <v>729</v>
      </c>
      <c r="D199" s="85">
        <v>6</v>
      </c>
      <c r="E199" s="56">
        <v>273</v>
      </c>
      <c r="F199" s="56">
        <v>206</v>
      </c>
      <c r="G199" s="56">
        <v>244</v>
      </c>
      <c r="H199" s="57"/>
      <c r="I199" s="57"/>
      <c r="J199" s="57"/>
      <c r="K199" s="57"/>
      <c r="L199" s="57"/>
      <c r="IJ199" s="69"/>
      <c r="IK199" s="69"/>
      <c r="IL199" s="69"/>
      <c r="IM199" s="69"/>
      <c r="IN199" s="69"/>
    </row>
    <row r="200" spans="1:248" s="54" customFormat="1" ht="16.5" customHeight="1" hidden="1">
      <c r="A200" s="30"/>
      <c r="B200" s="41"/>
      <c r="C200" s="28"/>
      <c r="D200" s="28"/>
      <c r="E200" s="28"/>
      <c r="F200" s="27"/>
      <c r="G200" s="88"/>
      <c r="H200" s="53"/>
      <c r="I200" s="53"/>
      <c r="J200" s="57"/>
      <c r="K200" s="58"/>
      <c r="L200" s="58"/>
      <c r="IJ200" s="55"/>
      <c r="IK200" s="55"/>
      <c r="IL200" s="55"/>
      <c r="IM200" s="55"/>
      <c r="IN200" s="55"/>
    </row>
    <row r="201" spans="1:248" s="54" customFormat="1" ht="29.25" customHeight="1">
      <c r="A201" s="52" t="s">
        <v>54</v>
      </c>
      <c r="B201" s="21" t="s">
        <v>55</v>
      </c>
      <c r="C201" s="23">
        <f>D201+E201+F201+G201</f>
        <v>4651</v>
      </c>
      <c r="D201" s="23">
        <f>D202+D203+D204</f>
        <v>0</v>
      </c>
      <c r="E201" s="23">
        <f>E202+E203+E204</f>
        <v>0</v>
      </c>
      <c r="F201" s="23">
        <f>F202+F203+F204</f>
        <v>2325</v>
      </c>
      <c r="G201" s="23">
        <f>G202+G203+G204</f>
        <v>2326</v>
      </c>
      <c r="H201" s="53"/>
      <c r="I201" s="53"/>
      <c r="J201" s="57"/>
      <c r="K201" s="58"/>
      <c r="L201" s="58"/>
      <c r="IJ201" s="55"/>
      <c r="IK201" s="55"/>
      <c r="IL201" s="55"/>
      <c r="IM201" s="55"/>
      <c r="IN201" s="55"/>
    </row>
    <row r="202" spans="1:248" s="54" customFormat="1" ht="16.5" customHeight="1">
      <c r="A202" s="26" t="s">
        <v>15</v>
      </c>
      <c r="B202" s="124"/>
      <c r="C202" s="56">
        <f>D202+E202+F202+G202</f>
        <v>829</v>
      </c>
      <c r="D202" s="56">
        <v>0</v>
      </c>
      <c r="E202" s="56">
        <v>0</v>
      </c>
      <c r="F202" s="56">
        <v>414</v>
      </c>
      <c r="G202" s="56">
        <v>415</v>
      </c>
      <c r="H202" s="53"/>
      <c r="I202" s="53"/>
      <c r="J202" s="57"/>
      <c r="K202" s="58"/>
      <c r="L202" s="58"/>
      <c r="IJ202" s="55"/>
      <c r="IK202" s="55"/>
      <c r="IL202" s="55"/>
      <c r="IM202" s="55"/>
      <c r="IN202" s="55"/>
    </row>
    <row r="203" spans="1:248" s="54" customFormat="1" ht="16.5" customHeight="1">
      <c r="A203" s="26" t="s">
        <v>16</v>
      </c>
      <c r="B203" s="124"/>
      <c r="C203" s="56">
        <f>D203+E203+F203+G203</f>
        <v>2372</v>
      </c>
      <c r="D203" s="56">
        <v>0</v>
      </c>
      <c r="E203" s="56">
        <v>0</v>
      </c>
      <c r="F203" s="56">
        <v>1186</v>
      </c>
      <c r="G203" s="56">
        <v>1186</v>
      </c>
      <c r="H203" s="53"/>
      <c r="I203" s="53"/>
      <c r="J203" s="57"/>
      <c r="K203" s="58"/>
      <c r="L203" s="58"/>
      <c r="IJ203" s="55"/>
      <c r="IK203" s="55"/>
      <c r="IL203" s="55"/>
      <c r="IM203" s="55"/>
      <c r="IN203" s="55"/>
    </row>
    <row r="204" spans="1:248" s="54" customFormat="1" ht="21.75" customHeight="1">
      <c r="A204" s="26" t="s">
        <v>17</v>
      </c>
      <c r="B204" s="124"/>
      <c r="C204" s="56">
        <f>D204+E204+F204+G204</f>
        <v>1450</v>
      </c>
      <c r="D204" s="56">
        <v>0</v>
      </c>
      <c r="E204" s="56">
        <v>0</v>
      </c>
      <c r="F204" s="56">
        <v>725</v>
      </c>
      <c r="G204" s="56">
        <v>725</v>
      </c>
      <c r="H204" s="53"/>
      <c r="I204" s="53"/>
      <c r="J204" s="57"/>
      <c r="K204" s="58"/>
      <c r="L204" s="58"/>
      <c r="IJ204" s="55"/>
      <c r="IK204" s="55"/>
      <c r="IL204" s="55"/>
      <c r="IM204" s="55"/>
      <c r="IN204" s="55"/>
    </row>
    <row r="205" spans="1:248" s="54" customFormat="1" ht="16.5" customHeight="1" hidden="1">
      <c r="A205" s="30"/>
      <c r="B205" s="41"/>
      <c r="C205" s="56"/>
      <c r="D205" s="56"/>
      <c r="E205" s="56"/>
      <c r="F205" s="56"/>
      <c r="G205" s="56"/>
      <c r="H205" s="53"/>
      <c r="I205" s="53"/>
      <c r="J205" s="57"/>
      <c r="K205" s="58"/>
      <c r="L205" s="58"/>
      <c r="IJ205" s="55"/>
      <c r="IK205" s="55"/>
      <c r="IL205" s="55"/>
      <c r="IM205" s="55"/>
      <c r="IN205" s="55"/>
    </row>
    <row r="206" spans="1:248" s="63" customFormat="1" ht="16.5" customHeight="1" hidden="1">
      <c r="A206" s="31"/>
      <c r="B206" s="47"/>
      <c r="C206" s="74">
        <f>D206+E206+F206+G206</f>
        <v>4651</v>
      </c>
      <c r="D206" s="74">
        <f>D207+D208+D209+D210</f>
        <v>0</v>
      </c>
      <c r="E206" s="74">
        <f>E207+E208+E209+E210</f>
        <v>0</v>
      </c>
      <c r="F206" s="74">
        <f>F207+F208+F209+F210</f>
        <v>2325</v>
      </c>
      <c r="G206" s="74">
        <f>G207+G208+G209+G210</f>
        <v>2326</v>
      </c>
      <c r="H206" s="60"/>
      <c r="I206" s="60"/>
      <c r="J206" s="61"/>
      <c r="K206" s="62"/>
      <c r="L206" s="62"/>
      <c r="IJ206" s="64"/>
      <c r="IK206" s="64"/>
      <c r="IL206" s="64"/>
      <c r="IM206" s="64"/>
      <c r="IN206" s="64"/>
    </row>
    <row r="207" spans="1:248" s="54" customFormat="1" ht="16.5" customHeight="1" hidden="1">
      <c r="A207" s="30" t="s">
        <v>18</v>
      </c>
      <c r="B207" s="41"/>
      <c r="C207" s="56">
        <f>D207+E207+F207+G207</f>
        <v>289</v>
      </c>
      <c r="D207" s="56">
        <v>0</v>
      </c>
      <c r="E207" s="56">
        <v>0</v>
      </c>
      <c r="F207" s="56">
        <v>145</v>
      </c>
      <c r="G207" s="56">
        <v>144</v>
      </c>
      <c r="H207" s="53"/>
      <c r="I207" s="53"/>
      <c r="J207" s="57"/>
      <c r="K207" s="58"/>
      <c r="L207" s="58"/>
      <c r="IJ207" s="55"/>
      <c r="IK207" s="55"/>
      <c r="IL207" s="55"/>
      <c r="IM207" s="55"/>
      <c r="IN207" s="55"/>
    </row>
    <row r="208" spans="1:248" s="54" customFormat="1" ht="16.5" customHeight="1" hidden="1">
      <c r="A208" s="30" t="s">
        <v>19</v>
      </c>
      <c r="B208" s="41"/>
      <c r="C208" s="56">
        <f>D208+E208+F208+G208</f>
        <v>1552</v>
      </c>
      <c r="D208" s="56">
        <v>0</v>
      </c>
      <c r="E208" s="56">
        <v>0</v>
      </c>
      <c r="F208" s="56">
        <v>776</v>
      </c>
      <c r="G208" s="56">
        <v>776</v>
      </c>
      <c r="H208" s="53"/>
      <c r="I208" s="53"/>
      <c r="J208" s="57"/>
      <c r="K208" s="58"/>
      <c r="L208" s="58"/>
      <c r="IJ208" s="55"/>
      <c r="IK208" s="55"/>
      <c r="IL208" s="55"/>
      <c r="IM208" s="55"/>
      <c r="IN208" s="55"/>
    </row>
    <row r="209" spans="1:248" s="54" customFormat="1" ht="16.5" customHeight="1" hidden="1">
      <c r="A209" s="30" t="s">
        <v>20</v>
      </c>
      <c r="B209" s="41"/>
      <c r="C209" s="56">
        <f>D209+E209+F209+G209</f>
        <v>0</v>
      </c>
      <c r="D209" s="56">
        <v>0</v>
      </c>
      <c r="E209" s="56">
        <v>0</v>
      </c>
      <c r="F209" s="56">
        <v>0</v>
      </c>
      <c r="G209" s="56">
        <v>0</v>
      </c>
      <c r="H209" s="53"/>
      <c r="I209" s="53"/>
      <c r="J209" s="57"/>
      <c r="K209" s="58"/>
      <c r="L209" s="58"/>
      <c r="IJ209" s="55"/>
      <c r="IK209" s="55"/>
      <c r="IL209" s="55"/>
      <c r="IM209" s="55"/>
      <c r="IN209" s="55"/>
    </row>
    <row r="210" spans="1:248" s="68" customFormat="1" ht="14.25" hidden="1">
      <c r="A210" s="35" t="s">
        <v>21</v>
      </c>
      <c r="B210" s="66"/>
      <c r="C210" s="84">
        <f>D210+E210+F210+G210</f>
        <v>2810</v>
      </c>
      <c r="D210" s="56">
        <v>0</v>
      </c>
      <c r="E210" s="56">
        <v>0</v>
      </c>
      <c r="F210" s="56">
        <f>725+680-1</f>
        <v>1404</v>
      </c>
      <c r="G210" s="56">
        <f>725+681</f>
        <v>1406</v>
      </c>
      <c r="H210" s="57"/>
      <c r="I210" s="57"/>
      <c r="J210" s="57"/>
      <c r="K210" s="57"/>
      <c r="L210" s="57"/>
      <c r="IJ210" s="69"/>
      <c r="IK210" s="69"/>
      <c r="IL210" s="69"/>
      <c r="IM210" s="69"/>
      <c r="IN210" s="69"/>
    </row>
    <row r="211" spans="1:248" s="54" customFormat="1" ht="16.5" customHeight="1" hidden="1">
      <c r="A211" s="30"/>
      <c r="B211" s="41"/>
      <c r="C211" s="28"/>
      <c r="D211" s="28"/>
      <c r="E211" s="28"/>
      <c r="F211" s="27"/>
      <c r="G211" s="88"/>
      <c r="H211" s="53"/>
      <c r="I211" s="53"/>
      <c r="J211" s="57"/>
      <c r="K211" s="58"/>
      <c r="L211" s="58"/>
      <c r="IJ211" s="55"/>
      <c r="IK211" s="55"/>
      <c r="IL211" s="55"/>
      <c r="IM211" s="55"/>
      <c r="IN211" s="55"/>
    </row>
    <row r="212" spans="1:248" s="54" customFormat="1" ht="31.5" customHeight="1">
      <c r="A212" s="52" t="s">
        <v>54</v>
      </c>
      <c r="B212" s="21" t="s">
        <v>56</v>
      </c>
      <c r="C212" s="23">
        <f>D212+E212+F212+G212</f>
        <v>5220</v>
      </c>
      <c r="D212" s="23">
        <f>D213+D214+D215</f>
        <v>0</v>
      </c>
      <c r="E212" s="23">
        <f>E213+E214+E215</f>
        <v>0</v>
      </c>
      <c r="F212" s="23">
        <f>F213+F214+F215</f>
        <v>2610</v>
      </c>
      <c r="G212" s="23">
        <f>G213+G214+G215</f>
        <v>2610</v>
      </c>
      <c r="H212" s="53"/>
      <c r="I212" s="53"/>
      <c r="J212" s="57"/>
      <c r="K212" s="58"/>
      <c r="L212" s="58"/>
      <c r="IJ212" s="55"/>
      <c r="IK212" s="55"/>
      <c r="IL212" s="55"/>
      <c r="IM212" s="55"/>
      <c r="IN212" s="55"/>
    </row>
    <row r="213" spans="1:248" s="54" customFormat="1" ht="16.5" customHeight="1">
      <c r="A213" s="26" t="s">
        <v>15</v>
      </c>
      <c r="B213" s="124"/>
      <c r="C213" s="56">
        <f>D213+E213+F213+G213</f>
        <v>1556</v>
      </c>
      <c r="D213" s="56">
        <v>0</v>
      </c>
      <c r="E213" s="56">
        <v>0</v>
      </c>
      <c r="F213" s="56">
        <v>778</v>
      </c>
      <c r="G213" s="56">
        <v>778</v>
      </c>
      <c r="H213" s="53"/>
      <c r="I213" s="53"/>
      <c r="J213" s="57"/>
      <c r="K213" s="58"/>
      <c r="L213" s="58"/>
      <c r="IJ213" s="55"/>
      <c r="IK213" s="55"/>
      <c r="IL213" s="55"/>
      <c r="IM213" s="55"/>
      <c r="IN213" s="55"/>
    </row>
    <row r="214" spans="1:248" s="54" customFormat="1" ht="16.5" customHeight="1">
      <c r="A214" s="26" t="s">
        <v>16</v>
      </c>
      <c r="B214" s="124"/>
      <c r="C214" s="56">
        <f>D214+E214+F214+G214</f>
        <v>1818</v>
      </c>
      <c r="D214" s="56">
        <v>0</v>
      </c>
      <c r="E214" s="56">
        <v>0</v>
      </c>
      <c r="F214" s="56">
        <v>909</v>
      </c>
      <c r="G214" s="56">
        <v>909</v>
      </c>
      <c r="H214" s="53"/>
      <c r="I214" s="53"/>
      <c r="J214" s="57"/>
      <c r="K214" s="58"/>
      <c r="L214" s="58"/>
      <c r="IJ214" s="55"/>
      <c r="IK214" s="55"/>
      <c r="IL214" s="55"/>
      <c r="IM214" s="55"/>
      <c r="IN214" s="55"/>
    </row>
    <row r="215" spans="1:248" s="54" customFormat="1" ht="21" customHeight="1">
      <c r="A215" s="26" t="s">
        <v>17</v>
      </c>
      <c r="B215" s="124"/>
      <c r="C215" s="56">
        <f>D215+E215+F215+G215</f>
        <v>1846</v>
      </c>
      <c r="D215" s="56">
        <v>0</v>
      </c>
      <c r="E215" s="56">
        <v>0</v>
      </c>
      <c r="F215" s="56">
        <v>923</v>
      </c>
      <c r="G215" s="56">
        <v>923</v>
      </c>
      <c r="H215" s="53"/>
      <c r="I215" s="53"/>
      <c r="J215" s="57"/>
      <c r="K215" s="58"/>
      <c r="L215" s="58"/>
      <c r="IJ215" s="55"/>
      <c r="IK215" s="55"/>
      <c r="IL215" s="55"/>
      <c r="IM215" s="55"/>
      <c r="IN215" s="55"/>
    </row>
    <row r="216" spans="1:248" s="54" customFormat="1" ht="16.5" customHeight="1" hidden="1">
      <c r="A216" s="30"/>
      <c r="B216" s="41"/>
      <c r="C216" s="56"/>
      <c r="D216" s="56"/>
      <c r="E216" s="56"/>
      <c r="F216" s="56"/>
      <c r="G216" s="56"/>
      <c r="H216" s="53"/>
      <c r="I216" s="53"/>
      <c r="J216" s="57"/>
      <c r="K216" s="58"/>
      <c r="L216" s="58"/>
      <c r="IJ216" s="55"/>
      <c r="IK216" s="55"/>
      <c r="IL216" s="55"/>
      <c r="IM216" s="55"/>
      <c r="IN216" s="55"/>
    </row>
    <row r="217" spans="1:248" s="63" customFormat="1" ht="16.5" customHeight="1" hidden="1">
      <c r="A217" s="31"/>
      <c r="B217" s="47"/>
      <c r="C217" s="74">
        <f aca="true" t="shared" si="4" ref="C217:C225">D217+E217+F217+G217</f>
        <v>5220</v>
      </c>
      <c r="D217" s="74">
        <f>D218+D219+D220+D221</f>
        <v>0</v>
      </c>
      <c r="E217" s="74">
        <f>E218+E219+E220+E221</f>
        <v>0</v>
      </c>
      <c r="F217" s="74">
        <f>F218+F219+F220+F221</f>
        <v>2610</v>
      </c>
      <c r="G217" s="74">
        <f>G218+G219+G220+G221</f>
        <v>2610</v>
      </c>
      <c r="H217" s="60"/>
      <c r="I217" s="60"/>
      <c r="J217" s="61"/>
      <c r="K217" s="62"/>
      <c r="L217" s="62"/>
      <c r="IJ217" s="64"/>
      <c r="IK217" s="64"/>
      <c r="IL217" s="64"/>
      <c r="IM217" s="64"/>
      <c r="IN217" s="64"/>
    </row>
    <row r="218" spans="1:248" s="54" customFormat="1" ht="16.5" customHeight="1" hidden="1">
      <c r="A218" s="30" t="s">
        <v>18</v>
      </c>
      <c r="B218" s="41"/>
      <c r="C218" s="56">
        <f t="shared" si="4"/>
        <v>131</v>
      </c>
      <c r="D218" s="56">
        <v>0</v>
      </c>
      <c r="E218" s="56">
        <v>0</v>
      </c>
      <c r="F218" s="56">
        <v>66</v>
      </c>
      <c r="G218" s="56">
        <v>65</v>
      </c>
      <c r="H218" s="53"/>
      <c r="I218" s="53"/>
      <c r="J218" s="57"/>
      <c r="K218" s="58"/>
      <c r="L218" s="58"/>
      <c r="IJ218" s="55"/>
      <c r="IK218" s="55"/>
      <c r="IL218" s="55"/>
      <c r="IM218" s="55"/>
      <c r="IN218" s="55"/>
    </row>
    <row r="219" spans="1:248" s="54" customFormat="1" ht="16.5" customHeight="1" hidden="1">
      <c r="A219" s="30" t="s">
        <v>19</v>
      </c>
      <c r="B219" s="41"/>
      <c r="C219" s="56">
        <f t="shared" si="4"/>
        <v>1818</v>
      </c>
      <c r="D219" s="56">
        <v>0</v>
      </c>
      <c r="E219" s="56">
        <v>0</v>
      </c>
      <c r="F219" s="56">
        <v>909</v>
      </c>
      <c r="G219" s="56">
        <v>909</v>
      </c>
      <c r="H219" s="53"/>
      <c r="I219" s="53"/>
      <c r="J219" s="57"/>
      <c r="K219" s="58"/>
      <c r="L219" s="58"/>
      <c r="IJ219" s="55"/>
      <c r="IK219" s="55"/>
      <c r="IL219" s="55"/>
      <c r="IM219" s="55"/>
      <c r="IN219" s="55"/>
    </row>
    <row r="220" spans="1:248" s="54" customFormat="1" ht="16.5" customHeight="1" hidden="1">
      <c r="A220" s="30" t="s">
        <v>20</v>
      </c>
      <c r="B220" s="41"/>
      <c r="C220" s="56">
        <f t="shared" si="4"/>
        <v>0</v>
      </c>
      <c r="D220" s="56">
        <v>0</v>
      </c>
      <c r="E220" s="56">
        <v>0</v>
      </c>
      <c r="F220" s="56">
        <v>0</v>
      </c>
      <c r="G220" s="56">
        <v>0</v>
      </c>
      <c r="H220" s="53"/>
      <c r="I220" s="53"/>
      <c r="J220" s="57"/>
      <c r="K220" s="58"/>
      <c r="L220" s="58"/>
      <c r="IJ220" s="55"/>
      <c r="IK220" s="55"/>
      <c r="IL220" s="55"/>
      <c r="IM220" s="55"/>
      <c r="IN220" s="55"/>
    </row>
    <row r="221" spans="1:248" s="68" customFormat="1" ht="14.25" hidden="1">
      <c r="A221" s="35" t="s">
        <v>21</v>
      </c>
      <c r="B221" s="66"/>
      <c r="C221" s="84">
        <f t="shared" si="4"/>
        <v>3271</v>
      </c>
      <c r="D221" s="56">
        <v>0</v>
      </c>
      <c r="E221" s="56">
        <v>0</v>
      </c>
      <c r="F221" s="56">
        <f>923+713-1</f>
        <v>1635</v>
      </c>
      <c r="G221" s="56">
        <f>923+713</f>
        <v>1636</v>
      </c>
      <c r="H221" s="57"/>
      <c r="I221" s="57"/>
      <c r="J221" s="57"/>
      <c r="K221" s="57"/>
      <c r="L221" s="57"/>
      <c r="IJ221" s="69"/>
      <c r="IK221" s="69"/>
      <c r="IL221" s="69"/>
      <c r="IM221" s="69"/>
      <c r="IN221" s="69"/>
    </row>
    <row r="222" spans="1:248" s="68" customFormat="1" ht="30" customHeight="1">
      <c r="A222" s="52" t="s">
        <v>54</v>
      </c>
      <c r="B222" s="21" t="s">
        <v>57</v>
      </c>
      <c r="C222" s="23">
        <f t="shared" si="4"/>
        <v>5513</v>
      </c>
      <c r="D222" s="23">
        <v>0</v>
      </c>
      <c r="E222" s="23">
        <f>E223+E224+E225</f>
        <v>1641</v>
      </c>
      <c r="F222" s="23">
        <f>F223+F224+F225</f>
        <v>1936</v>
      </c>
      <c r="G222" s="23">
        <f>G223+G224+G225</f>
        <v>1936</v>
      </c>
      <c r="H222" s="57"/>
      <c r="I222" s="57"/>
      <c r="J222" s="57"/>
      <c r="K222" s="57"/>
      <c r="L222" s="57"/>
      <c r="IJ222" s="69"/>
      <c r="IK222" s="69"/>
      <c r="IL222" s="69"/>
      <c r="IM222" s="69"/>
      <c r="IN222" s="69"/>
    </row>
    <row r="223" spans="1:248" s="68" customFormat="1" ht="16.5" customHeight="1">
      <c r="A223" s="26" t="s">
        <v>15</v>
      </c>
      <c r="B223" s="123"/>
      <c r="C223" s="56">
        <f t="shared" si="4"/>
        <v>1858</v>
      </c>
      <c r="D223" s="56">
        <v>0</v>
      </c>
      <c r="E223" s="56">
        <v>804</v>
      </c>
      <c r="F223" s="56">
        <v>527</v>
      </c>
      <c r="G223" s="56">
        <v>527</v>
      </c>
      <c r="H223" s="57"/>
      <c r="I223" s="57"/>
      <c r="J223" s="57"/>
      <c r="K223" s="57"/>
      <c r="L223" s="57"/>
      <c r="IJ223" s="69"/>
      <c r="IK223" s="69"/>
      <c r="IL223" s="69"/>
      <c r="IM223" s="69"/>
      <c r="IN223" s="69"/>
    </row>
    <row r="224" spans="1:248" s="68" customFormat="1" ht="16.5" customHeight="1">
      <c r="A224" s="26" t="s">
        <v>16</v>
      </c>
      <c r="B224" s="123"/>
      <c r="C224" s="56">
        <f t="shared" si="4"/>
        <v>1933</v>
      </c>
      <c r="D224" s="56">
        <v>0</v>
      </c>
      <c r="E224" s="56">
        <v>837</v>
      </c>
      <c r="F224" s="56">
        <v>548</v>
      </c>
      <c r="G224" s="56">
        <v>548</v>
      </c>
      <c r="H224" s="57"/>
      <c r="I224" s="57"/>
      <c r="J224" s="57"/>
      <c r="K224" s="57"/>
      <c r="L224" s="57"/>
      <c r="IJ224" s="69"/>
      <c r="IK224" s="69"/>
      <c r="IL224" s="69"/>
      <c r="IM224" s="69"/>
      <c r="IN224" s="69"/>
    </row>
    <row r="225" spans="1:248" s="68" customFormat="1" ht="16.5" customHeight="1">
      <c r="A225" s="30" t="s">
        <v>17</v>
      </c>
      <c r="B225" s="123"/>
      <c r="C225" s="56">
        <f t="shared" si="4"/>
        <v>1722</v>
      </c>
      <c r="D225" s="56">
        <v>0</v>
      </c>
      <c r="E225" s="56">
        <v>0</v>
      </c>
      <c r="F225" s="56">
        <v>861</v>
      </c>
      <c r="G225" s="56">
        <v>861</v>
      </c>
      <c r="H225" s="57"/>
      <c r="I225" s="57"/>
      <c r="J225" s="57"/>
      <c r="K225" s="57"/>
      <c r="L225" s="57"/>
      <c r="IJ225" s="69"/>
      <c r="IK225" s="69"/>
      <c r="IL225" s="69"/>
      <c r="IM225" s="69"/>
      <c r="IN225" s="69"/>
    </row>
    <row r="226" spans="1:248" s="68" customFormat="1" ht="16.5" customHeight="1" hidden="1">
      <c r="A226" s="30"/>
      <c r="B226" s="41"/>
      <c r="C226" s="56"/>
      <c r="D226" s="56"/>
      <c r="E226" s="56"/>
      <c r="F226" s="56"/>
      <c r="G226" s="56"/>
      <c r="H226" s="57"/>
      <c r="I226" s="57"/>
      <c r="J226" s="57"/>
      <c r="K226" s="57"/>
      <c r="L226" s="57"/>
      <c r="IJ226" s="69"/>
      <c r="IK226" s="69"/>
      <c r="IL226" s="69"/>
      <c r="IM226" s="69"/>
      <c r="IN226" s="69"/>
    </row>
    <row r="227" spans="1:248" s="68" customFormat="1" ht="16.5" customHeight="1" hidden="1">
      <c r="A227" s="31"/>
      <c r="B227" s="47"/>
      <c r="C227" s="74">
        <f>C228+C229+C230+C231</f>
        <v>5513</v>
      </c>
      <c r="D227" s="74">
        <v>0</v>
      </c>
      <c r="E227" s="74">
        <f>E228+E229+E230+E231</f>
        <v>1641</v>
      </c>
      <c r="F227" s="74">
        <f>F228+F229+F230+F231</f>
        <v>1936</v>
      </c>
      <c r="G227" s="74">
        <f>G228+G229+G230+G231</f>
        <v>1936</v>
      </c>
      <c r="H227" s="57"/>
      <c r="I227" s="57"/>
      <c r="J227" s="57"/>
      <c r="K227" s="57"/>
      <c r="L227" s="57"/>
      <c r="IJ227" s="69"/>
      <c r="IK227" s="69"/>
      <c r="IL227" s="69"/>
      <c r="IM227" s="69"/>
      <c r="IN227" s="69"/>
    </row>
    <row r="228" spans="1:248" s="68" customFormat="1" ht="16.5" customHeight="1" hidden="1">
      <c r="A228" s="30" t="s">
        <v>18</v>
      </c>
      <c r="B228" s="41"/>
      <c r="C228" s="56">
        <f>SUM(D228:G228)</f>
        <v>342</v>
      </c>
      <c r="D228" s="56">
        <v>0</v>
      </c>
      <c r="E228" s="56">
        <v>148</v>
      </c>
      <c r="F228" s="56">
        <v>97</v>
      </c>
      <c r="G228" s="56">
        <v>97</v>
      </c>
      <c r="H228" s="57"/>
      <c r="I228" s="57"/>
      <c r="J228" s="57"/>
      <c r="K228" s="57"/>
      <c r="L228" s="57"/>
      <c r="IJ228" s="69"/>
      <c r="IK228" s="69"/>
      <c r="IL228" s="69"/>
      <c r="IM228" s="69"/>
      <c r="IN228" s="69"/>
    </row>
    <row r="229" spans="1:248" s="68" customFormat="1" ht="16.5" customHeight="1" hidden="1">
      <c r="A229" s="30" t="s">
        <v>19</v>
      </c>
      <c r="B229" s="41"/>
      <c r="C229" s="56">
        <f>SUM(D229:G229)</f>
        <v>1933</v>
      </c>
      <c r="D229" s="56">
        <v>0</v>
      </c>
      <c r="E229" s="56">
        <v>837</v>
      </c>
      <c r="F229" s="56">
        <v>548</v>
      </c>
      <c r="G229" s="56">
        <v>548</v>
      </c>
      <c r="H229" s="57"/>
      <c r="I229" s="57"/>
      <c r="J229" s="57"/>
      <c r="K229" s="57"/>
      <c r="L229" s="57"/>
      <c r="IJ229" s="69"/>
      <c r="IK229" s="69"/>
      <c r="IL229" s="69"/>
      <c r="IM229" s="69"/>
      <c r="IN229" s="69"/>
    </row>
    <row r="230" spans="1:248" s="68" customFormat="1" ht="16.5" customHeight="1" hidden="1">
      <c r="A230" s="30" t="s">
        <v>20</v>
      </c>
      <c r="B230" s="41"/>
      <c r="C230" s="56">
        <f>SUM(D230:G230)</f>
        <v>0</v>
      </c>
      <c r="D230" s="56">
        <v>0</v>
      </c>
      <c r="E230" s="56">
        <v>0</v>
      </c>
      <c r="F230" s="56">
        <v>0</v>
      </c>
      <c r="G230" s="56">
        <v>0</v>
      </c>
      <c r="H230" s="57"/>
      <c r="I230" s="57"/>
      <c r="J230" s="57"/>
      <c r="K230" s="57"/>
      <c r="L230" s="57"/>
      <c r="IJ230" s="69"/>
      <c r="IK230" s="69"/>
      <c r="IL230" s="69"/>
      <c r="IM230" s="69"/>
      <c r="IN230" s="69"/>
    </row>
    <row r="231" spans="1:248" s="68" customFormat="1" ht="14.25" hidden="1">
      <c r="A231" s="35" t="s">
        <v>21</v>
      </c>
      <c r="B231" s="66"/>
      <c r="C231" s="84">
        <f>SUM(D231:G231)</f>
        <v>3238</v>
      </c>
      <c r="D231" s="56">
        <v>0</v>
      </c>
      <c r="E231" s="56">
        <v>656</v>
      </c>
      <c r="F231" s="56">
        <v>1291</v>
      </c>
      <c r="G231" s="56">
        <v>1291</v>
      </c>
      <c r="H231" s="57"/>
      <c r="I231" s="57"/>
      <c r="J231" s="57"/>
      <c r="K231" s="57"/>
      <c r="L231" s="57"/>
      <c r="IJ231" s="69"/>
      <c r="IK231" s="69"/>
      <c r="IL231" s="69"/>
      <c r="IM231" s="69"/>
      <c r="IN231" s="69"/>
    </row>
    <row r="232" spans="1:248" s="68" customFormat="1" ht="30" customHeight="1">
      <c r="A232" s="52" t="s">
        <v>54</v>
      </c>
      <c r="B232" s="21" t="s">
        <v>58</v>
      </c>
      <c r="C232" s="23">
        <f>D232+E232+F232+G232</f>
        <v>7530</v>
      </c>
      <c r="D232" s="23">
        <v>0</v>
      </c>
      <c r="E232" s="23">
        <f>E233+E234+E235</f>
        <v>2124</v>
      </c>
      <c r="F232" s="23">
        <f>F233+F234+F235</f>
        <v>2915</v>
      </c>
      <c r="G232" s="23">
        <v>2491</v>
      </c>
      <c r="H232" s="57"/>
      <c r="I232" s="57"/>
      <c r="J232" s="57"/>
      <c r="K232" s="57"/>
      <c r="L232" s="57"/>
      <c r="IJ232" s="69"/>
      <c r="IK232" s="69"/>
      <c r="IL232" s="69"/>
      <c r="IM232" s="69"/>
      <c r="IN232" s="69"/>
    </row>
    <row r="233" spans="1:248" s="68" customFormat="1" ht="16.5" customHeight="1">
      <c r="A233" s="26" t="s">
        <v>15</v>
      </c>
      <c r="B233" s="123"/>
      <c r="C233" s="56">
        <f>D233+E233+F233+G233</f>
        <v>2071</v>
      </c>
      <c r="D233" s="56">
        <v>0</v>
      </c>
      <c r="E233" s="56">
        <v>1041</v>
      </c>
      <c r="F233" s="56">
        <v>428</v>
      </c>
      <c r="G233" s="56">
        <v>602</v>
      </c>
      <c r="H233" s="57"/>
      <c r="I233" s="57"/>
      <c r="J233" s="57"/>
      <c r="K233" s="57"/>
      <c r="L233" s="57"/>
      <c r="IJ233" s="69"/>
      <c r="IK233" s="69"/>
      <c r="IL233" s="69"/>
      <c r="IM233" s="69"/>
      <c r="IN233" s="69"/>
    </row>
    <row r="234" spans="1:248" s="68" customFormat="1" ht="16.5" customHeight="1">
      <c r="A234" s="26" t="s">
        <v>16</v>
      </c>
      <c r="B234" s="123"/>
      <c r="C234" s="56">
        <f>D234+E234+F234+G234</f>
        <v>2155</v>
      </c>
      <c r="D234" s="56">
        <v>0</v>
      </c>
      <c r="E234" s="56">
        <v>1083</v>
      </c>
      <c r="F234" s="56">
        <v>446</v>
      </c>
      <c r="G234" s="56">
        <v>626</v>
      </c>
      <c r="H234" s="57"/>
      <c r="I234" s="57"/>
      <c r="J234" s="57"/>
      <c r="K234" s="57"/>
      <c r="L234" s="57"/>
      <c r="IJ234" s="69"/>
      <c r="IK234" s="69"/>
      <c r="IL234" s="69"/>
      <c r="IM234" s="69"/>
      <c r="IN234" s="69"/>
    </row>
    <row r="235" spans="1:248" s="68" customFormat="1" ht="16.5" customHeight="1">
      <c r="A235" s="30" t="s">
        <v>17</v>
      </c>
      <c r="B235" s="123"/>
      <c r="C235" s="56">
        <f>D235+E235+F235+G235</f>
        <v>3304</v>
      </c>
      <c r="D235" s="56">
        <v>0</v>
      </c>
      <c r="E235" s="56">
        <v>0</v>
      </c>
      <c r="F235" s="56">
        <v>2041</v>
      </c>
      <c r="G235" s="56">
        <v>1263</v>
      </c>
      <c r="H235" s="57"/>
      <c r="I235" s="57"/>
      <c r="J235" s="57"/>
      <c r="K235" s="57"/>
      <c r="L235" s="57"/>
      <c r="IJ235" s="69"/>
      <c r="IK235" s="69"/>
      <c r="IL235" s="69"/>
      <c r="IM235" s="69"/>
      <c r="IN235" s="69"/>
    </row>
    <row r="236" spans="1:248" s="68" customFormat="1" ht="16.5" customHeight="1" hidden="1">
      <c r="A236" s="30"/>
      <c r="B236" s="41"/>
      <c r="C236" s="56"/>
      <c r="D236" s="56"/>
      <c r="E236" s="56"/>
      <c r="F236" s="56"/>
      <c r="G236" s="56"/>
      <c r="H236" s="57"/>
      <c r="I236" s="57"/>
      <c r="J236" s="57"/>
      <c r="K236" s="57"/>
      <c r="L236" s="57"/>
      <c r="IJ236" s="69"/>
      <c r="IK236" s="69"/>
      <c r="IL236" s="69"/>
      <c r="IM236" s="69"/>
      <c r="IN236" s="69"/>
    </row>
    <row r="237" spans="1:248" s="68" customFormat="1" ht="16.5" customHeight="1" hidden="1">
      <c r="A237" s="31"/>
      <c r="B237" s="47"/>
      <c r="C237" s="74">
        <f>C238+C239+C240+C241</f>
        <v>3953</v>
      </c>
      <c r="D237" s="74">
        <f>D238+D239+D240+D241</f>
        <v>0</v>
      </c>
      <c r="E237" s="74">
        <f>E238+E239+E240+E241</f>
        <v>1274</v>
      </c>
      <c r="F237" s="74">
        <f>F238+F239+F240+F241</f>
        <v>708</v>
      </c>
      <c r="G237" s="74">
        <f>G238+G239+G240+G241</f>
        <v>1971</v>
      </c>
      <c r="H237" s="57"/>
      <c r="I237" s="57"/>
      <c r="J237" s="57"/>
      <c r="K237" s="57"/>
      <c r="L237" s="57"/>
      <c r="IJ237" s="69"/>
      <c r="IK237" s="69"/>
      <c r="IL237" s="69"/>
      <c r="IM237" s="69"/>
      <c r="IN237" s="69"/>
    </row>
    <row r="238" spans="1:248" s="68" customFormat="1" ht="16.5" customHeight="1" hidden="1">
      <c r="A238" s="30" t="s">
        <v>18</v>
      </c>
      <c r="B238" s="41"/>
      <c r="C238" s="56">
        <f>SUM(D238:G238)</f>
        <v>715</v>
      </c>
      <c r="D238" s="56">
        <v>0</v>
      </c>
      <c r="E238" s="56">
        <v>191</v>
      </c>
      <c r="F238" s="56">
        <v>262</v>
      </c>
      <c r="G238" s="56">
        <v>262</v>
      </c>
      <c r="H238" s="57"/>
      <c r="I238" s="57"/>
      <c r="J238" s="57"/>
      <c r="K238" s="57"/>
      <c r="L238" s="57"/>
      <c r="IJ238" s="69"/>
      <c r="IK238" s="69"/>
      <c r="IL238" s="69"/>
      <c r="IM238" s="69"/>
      <c r="IN238" s="69"/>
    </row>
    <row r="239" spans="1:248" s="68" customFormat="1" ht="16.5" customHeight="1" hidden="1">
      <c r="A239" s="30" t="s">
        <v>19</v>
      </c>
      <c r="B239" s="41"/>
      <c r="C239" s="56">
        <f>SUM(D239:G239)</f>
        <v>1975</v>
      </c>
      <c r="D239" s="56">
        <v>0</v>
      </c>
      <c r="E239" s="56">
        <v>1083</v>
      </c>
      <c r="F239" s="56">
        <v>446</v>
      </c>
      <c r="G239" s="56">
        <v>446</v>
      </c>
      <c r="H239" s="57"/>
      <c r="I239" s="57"/>
      <c r="J239" s="57"/>
      <c r="K239" s="57"/>
      <c r="L239" s="57"/>
      <c r="IJ239" s="69"/>
      <c r="IK239" s="69"/>
      <c r="IL239" s="69"/>
      <c r="IM239" s="69"/>
      <c r="IN239" s="69"/>
    </row>
    <row r="240" spans="1:248" s="68" customFormat="1" ht="16.5" customHeight="1" hidden="1">
      <c r="A240" s="30" t="s">
        <v>20</v>
      </c>
      <c r="B240" s="41"/>
      <c r="C240" s="56">
        <f>SUM(D240:G240)</f>
        <v>0</v>
      </c>
      <c r="D240" s="56">
        <v>0</v>
      </c>
      <c r="E240" s="56">
        <v>0</v>
      </c>
      <c r="F240" s="56">
        <v>0</v>
      </c>
      <c r="G240" s="56">
        <v>0</v>
      </c>
      <c r="H240" s="57"/>
      <c r="I240" s="57"/>
      <c r="J240" s="57"/>
      <c r="K240" s="57"/>
      <c r="L240" s="57"/>
      <c r="IJ240" s="69"/>
      <c r="IK240" s="69"/>
      <c r="IL240" s="69"/>
      <c r="IM240" s="69"/>
      <c r="IN240" s="69"/>
    </row>
    <row r="241" spans="1:248" s="68" customFormat="1" ht="14.25" hidden="1">
      <c r="A241" s="35" t="s">
        <v>21</v>
      </c>
      <c r="B241" s="66"/>
      <c r="C241" s="84">
        <f>D241+E241+F241+G241</f>
        <v>1263</v>
      </c>
      <c r="D241" s="56">
        <v>0</v>
      </c>
      <c r="E241" s="56">
        <v>0</v>
      </c>
      <c r="F241" s="56">
        <v>0</v>
      </c>
      <c r="G241" s="56">
        <f>(2206-520)-423</f>
        <v>1263</v>
      </c>
      <c r="H241" s="57"/>
      <c r="I241" s="57"/>
      <c r="J241" s="57"/>
      <c r="K241" s="57"/>
      <c r="L241" s="57"/>
      <c r="IJ241" s="69"/>
      <c r="IK241" s="69"/>
      <c r="IL241" s="69"/>
      <c r="IM241" s="69"/>
      <c r="IN241" s="69"/>
    </row>
    <row r="242" spans="1:248" s="63" customFormat="1" ht="16.5" customHeight="1">
      <c r="A242" s="130" t="s">
        <v>59</v>
      </c>
      <c r="B242" s="130"/>
      <c r="C242" s="32">
        <f>C190+C201+C212+C222+C232</f>
        <v>29178</v>
      </c>
      <c r="D242" s="32">
        <f>D190+D201+D212+D222+D232</f>
        <v>45</v>
      </c>
      <c r="E242" s="32">
        <f>E190+E201+E212+E222+E232</f>
        <v>5610</v>
      </c>
      <c r="F242" s="32">
        <f>F190+F201+F212+F222+F232</f>
        <v>11848</v>
      </c>
      <c r="G242" s="32">
        <f>G190+G201+G212+G222+G232</f>
        <v>11675</v>
      </c>
      <c r="H242" s="60"/>
      <c r="I242" s="60"/>
      <c r="J242" s="61"/>
      <c r="K242" s="62"/>
      <c r="L242" s="62"/>
      <c r="M242" s="63">
        <v>2859</v>
      </c>
      <c r="N242" s="78">
        <f>C242-M242</f>
        <v>26319</v>
      </c>
      <c r="IJ242" s="64"/>
      <c r="IK242" s="64"/>
      <c r="IL242" s="64"/>
      <c r="IM242" s="64"/>
      <c r="IN242" s="64"/>
    </row>
    <row r="243" spans="1:248" s="54" customFormat="1" ht="17.25" customHeight="1">
      <c r="A243" s="133" t="s">
        <v>60</v>
      </c>
      <c r="B243" s="133"/>
      <c r="C243" s="133"/>
      <c r="D243" s="23"/>
      <c r="E243" s="23"/>
      <c r="F243" s="74"/>
      <c r="G243" s="74"/>
      <c r="H243" s="53"/>
      <c r="I243" s="53"/>
      <c r="J243" s="57"/>
      <c r="K243" s="58"/>
      <c r="L243" s="58"/>
      <c r="IJ243" s="55"/>
      <c r="IK243" s="55"/>
      <c r="IL243" s="55"/>
      <c r="IM243" s="55"/>
      <c r="IN243" s="55"/>
    </row>
    <row r="244" spans="1:248" s="63" customFormat="1" ht="28.5" hidden="1">
      <c r="A244" s="52" t="s">
        <v>61</v>
      </c>
      <c r="B244" s="21" t="s">
        <v>62</v>
      </c>
      <c r="C244" s="74">
        <f>D244+E244+F244+G244</f>
        <v>1702</v>
      </c>
      <c r="D244" s="74">
        <v>0</v>
      </c>
      <c r="E244" s="74">
        <f>E245+E246+E247+E248</f>
        <v>1702</v>
      </c>
      <c r="F244" s="74">
        <f>F245+F246+F247+F248</f>
        <v>0</v>
      </c>
      <c r="G244" s="74">
        <f>G245+G246+G247+G248</f>
        <v>0</v>
      </c>
      <c r="H244" s="60"/>
      <c r="I244" s="60"/>
      <c r="J244" s="61"/>
      <c r="K244" s="62"/>
      <c r="L244" s="62"/>
      <c r="IJ244" s="64"/>
      <c r="IK244" s="64"/>
      <c r="IL244" s="64"/>
      <c r="IM244" s="64"/>
      <c r="IN244" s="64"/>
    </row>
    <row r="245" spans="1:248" s="54" customFormat="1" ht="16.5" customHeight="1" hidden="1">
      <c r="A245" s="30" t="s">
        <v>18</v>
      </c>
      <c r="B245" s="41"/>
      <c r="C245" s="56">
        <f>E245</f>
        <v>255</v>
      </c>
      <c r="D245" s="89"/>
      <c r="E245" s="56">
        <v>255</v>
      </c>
      <c r="F245" s="56">
        <v>0</v>
      </c>
      <c r="G245" s="56">
        <v>0</v>
      </c>
      <c r="H245" s="53"/>
      <c r="I245" s="53"/>
      <c r="J245" s="57"/>
      <c r="K245" s="58"/>
      <c r="L245" s="58"/>
      <c r="IJ245" s="55"/>
      <c r="IK245" s="55"/>
      <c r="IL245" s="55"/>
      <c r="IM245" s="55"/>
      <c r="IN245" s="55"/>
    </row>
    <row r="246" spans="1:248" s="54" customFormat="1" ht="16.5" customHeight="1" hidden="1">
      <c r="A246" s="30" t="s">
        <v>63</v>
      </c>
      <c r="B246" s="41"/>
      <c r="C246" s="56">
        <f>E246</f>
        <v>0</v>
      </c>
      <c r="D246" s="89"/>
      <c r="E246" s="56"/>
      <c r="F246" s="56">
        <v>0</v>
      </c>
      <c r="G246" s="56">
        <v>0</v>
      </c>
      <c r="H246" s="53"/>
      <c r="I246" s="53"/>
      <c r="J246" s="57"/>
      <c r="K246" s="58"/>
      <c r="L246" s="58"/>
      <c r="IJ246" s="55"/>
      <c r="IK246" s="55"/>
      <c r="IL246" s="55"/>
      <c r="IM246" s="55"/>
      <c r="IN246" s="55"/>
    </row>
    <row r="247" spans="1:248" s="54" customFormat="1" ht="16.5" customHeight="1" hidden="1">
      <c r="A247" s="30" t="s">
        <v>64</v>
      </c>
      <c r="B247" s="41"/>
      <c r="C247" s="56">
        <f>E247</f>
        <v>1447</v>
      </c>
      <c r="D247" s="89"/>
      <c r="E247" s="56">
        <v>1447</v>
      </c>
      <c r="F247" s="56">
        <v>0</v>
      </c>
      <c r="G247" s="56">
        <v>0</v>
      </c>
      <c r="H247" s="53"/>
      <c r="I247" s="53"/>
      <c r="J247" s="57"/>
      <c r="K247" s="58"/>
      <c r="L247" s="58"/>
      <c r="IJ247" s="55"/>
      <c r="IK247" s="55"/>
      <c r="IL247" s="55"/>
      <c r="IM247" s="55"/>
      <c r="IN247" s="55"/>
    </row>
    <row r="248" spans="1:248" s="68" customFormat="1" ht="14.25" hidden="1">
      <c r="A248" s="35" t="s">
        <v>21</v>
      </c>
      <c r="B248" s="66"/>
      <c r="C248" s="84">
        <f>D248+E248+F248+G248</f>
        <v>0</v>
      </c>
      <c r="D248" s="56">
        <v>0</v>
      </c>
      <c r="E248" s="56">
        <v>0</v>
      </c>
      <c r="F248" s="56">
        <v>0</v>
      </c>
      <c r="G248" s="56">
        <v>0</v>
      </c>
      <c r="H248" s="57"/>
      <c r="I248" s="57"/>
      <c r="J248" s="57"/>
      <c r="K248" s="57"/>
      <c r="L248" s="57"/>
      <c r="IJ248" s="69"/>
      <c r="IK248" s="69"/>
      <c r="IL248" s="69"/>
      <c r="IM248" s="69"/>
      <c r="IN248" s="69"/>
    </row>
    <row r="249" spans="1:248" s="54" customFormat="1" ht="16.5" customHeight="1" hidden="1">
      <c r="A249" s="30"/>
      <c r="B249" s="87"/>
      <c r="C249" s="28"/>
      <c r="D249" s="56"/>
      <c r="E249" s="56"/>
      <c r="F249" s="56"/>
      <c r="G249" s="56"/>
      <c r="H249" s="53"/>
      <c r="I249" s="53"/>
      <c r="J249" s="90"/>
      <c r="K249" s="58"/>
      <c r="L249" s="58"/>
      <c r="IJ249" s="55"/>
      <c r="IK249" s="55"/>
      <c r="IL249" s="55"/>
      <c r="IM249" s="55"/>
      <c r="IN249" s="55"/>
    </row>
    <row r="250" spans="1:248" s="54" customFormat="1" ht="32.25" customHeight="1">
      <c r="A250" s="52" t="s">
        <v>61</v>
      </c>
      <c r="B250" s="21" t="s">
        <v>65</v>
      </c>
      <c r="C250" s="23">
        <f>D250+E250+F250+G250</f>
        <v>49</v>
      </c>
      <c r="D250" s="23">
        <f>D251+D252+D253</f>
        <v>0</v>
      </c>
      <c r="E250" s="23">
        <f>E251+E252+E253</f>
        <v>30</v>
      </c>
      <c r="F250" s="23">
        <f>F251+F252+F253</f>
        <v>19</v>
      </c>
      <c r="G250" s="23">
        <f>G251+G252+G253</f>
        <v>0</v>
      </c>
      <c r="H250" s="53"/>
      <c r="I250" s="53"/>
      <c r="J250" s="57"/>
      <c r="K250" s="58"/>
      <c r="L250" s="58"/>
      <c r="IJ250" s="55"/>
      <c r="IK250" s="55"/>
      <c r="IL250" s="55"/>
      <c r="IM250" s="55"/>
      <c r="IN250" s="55"/>
    </row>
    <row r="251" spans="1:248" s="54" customFormat="1" ht="16.5" customHeight="1">
      <c r="A251" s="26" t="s">
        <v>66</v>
      </c>
      <c r="B251" s="41"/>
      <c r="C251" s="56">
        <f>D251+E251+F251+G251</f>
        <v>19</v>
      </c>
      <c r="D251" s="56">
        <v>0</v>
      </c>
      <c r="E251" s="56">
        <v>0</v>
      </c>
      <c r="F251" s="56">
        <v>19</v>
      </c>
      <c r="G251" s="56">
        <v>0</v>
      </c>
      <c r="H251" s="53"/>
      <c r="I251" s="53"/>
      <c r="J251" s="57"/>
      <c r="K251" s="58"/>
      <c r="L251" s="58"/>
      <c r="IJ251" s="55"/>
      <c r="IK251" s="55"/>
      <c r="IL251" s="55"/>
      <c r="IM251" s="55"/>
      <c r="IN251" s="55"/>
    </row>
    <row r="252" spans="1:248" s="54" customFormat="1" ht="16.5" customHeight="1">
      <c r="A252" s="26" t="s">
        <v>67</v>
      </c>
      <c r="B252" s="41"/>
      <c r="C252" s="56">
        <f>D252+E252+F252+G252</f>
        <v>30</v>
      </c>
      <c r="D252" s="56">
        <v>0</v>
      </c>
      <c r="E252" s="56">
        <v>30</v>
      </c>
      <c r="F252" s="56">
        <v>0</v>
      </c>
      <c r="G252" s="56">
        <v>0</v>
      </c>
      <c r="H252" s="53"/>
      <c r="I252" s="53"/>
      <c r="J252" s="57"/>
      <c r="K252" s="58"/>
      <c r="L252" s="58"/>
      <c r="IJ252" s="55"/>
      <c r="IK252" s="55"/>
      <c r="IL252" s="55"/>
      <c r="IM252" s="55"/>
      <c r="IN252" s="55"/>
    </row>
    <row r="253" spans="1:248" s="54" customFormat="1" ht="16.5" customHeight="1">
      <c r="A253" s="26" t="s">
        <v>68</v>
      </c>
      <c r="B253" s="41"/>
      <c r="C253" s="56">
        <f>D253+E253+F253+G253</f>
        <v>0</v>
      </c>
      <c r="D253" s="56">
        <v>0</v>
      </c>
      <c r="E253" s="56">
        <v>0</v>
      </c>
      <c r="F253" s="56">
        <v>0</v>
      </c>
      <c r="G253" s="56">
        <v>0</v>
      </c>
      <c r="H253" s="53"/>
      <c r="I253" s="53"/>
      <c r="J253" s="57"/>
      <c r="K253" s="58"/>
      <c r="L253" s="58"/>
      <c r="IJ253" s="55"/>
      <c r="IK253" s="55"/>
      <c r="IL253" s="55"/>
      <c r="IM253" s="55"/>
      <c r="IN253" s="55"/>
    </row>
    <row r="254" spans="1:248" s="54" customFormat="1" ht="16.5" customHeight="1" hidden="1">
      <c r="A254" s="30"/>
      <c r="B254" s="41"/>
      <c r="C254" s="56"/>
      <c r="D254" s="56"/>
      <c r="E254" s="56"/>
      <c r="F254" s="56"/>
      <c r="G254" s="56"/>
      <c r="H254" s="53"/>
      <c r="I254" s="53"/>
      <c r="J254" s="57"/>
      <c r="K254" s="58"/>
      <c r="L254" s="58"/>
      <c r="IJ254" s="55"/>
      <c r="IK254" s="55"/>
      <c r="IL254" s="55"/>
      <c r="IM254" s="55"/>
      <c r="IN254" s="55"/>
    </row>
    <row r="255" spans="1:248" s="63" customFormat="1" ht="16.5" customHeight="1" hidden="1">
      <c r="A255" s="31"/>
      <c r="B255" s="47"/>
      <c r="C255" s="74">
        <f>D255+E255+F255+G255</f>
        <v>49</v>
      </c>
      <c r="D255" s="74">
        <f>D256+D257+D258+D259</f>
        <v>0</v>
      </c>
      <c r="E255" s="74">
        <f>E256+E257+E258+E259</f>
        <v>30</v>
      </c>
      <c r="F255" s="74">
        <f>F256+F257+F258+F259</f>
        <v>19</v>
      </c>
      <c r="G255" s="74">
        <f>G256+G257+G258+G259</f>
        <v>0</v>
      </c>
      <c r="H255" s="60"/>
      <c r="I255" s="60"/>
      <c r="J255" s="61"/>
      <c r="K255" s="62"/>
      <c r="L255" s="62"/>
      <c r="IJ255" s="64"/>
      <c r="IK255" s="64"/>
      <c r="IL255" s="64"/>
      <c r="IM255" s="64"/>
      <c r="IN255" s="64"/>
    </row>
    <row r="256" spans="1:248" s="54" customFormat="1" ht="16.5" customHeight="1" hidden="1">
      <c r="A256" s="30" t="s">
        <v>18</v>
      </c>
      <c r="B256" s="41"/>
      <c r="C256" s="56">
        <f>D256+E256+F256+G256</f>
        <v>0</v>
      </c>
      <c r="D256" s="56">
        <v>0</v>
      </c>
      <c r="E256" s="56">
        <v>0</v>
      </c>
      <c r="F256" s="56">
        <v>0</v>
      </c>
      <c r="G256" s="56">
        <v>0</v>
      </c>
      <c r="H256" s="53"/>
      <c r="I256" s="53"/>
      <c r="J256" s="57"/>
      <c r="K256" s="58"/>
      <c r="L256" s="58"/>
      <c r="IJ256" s="55"/>
      <c r="IK256" s="55"/>
      <c r="IL256" s="55"/>
      <c r="IM256" s="55"/>
      <c r="IN256" s="55"/>
    </row>
    <row r="257" spans="1:248" s="54" customFormat="1" ht="16.5" customHeight="1" hidden="1">
      <c r="A257" s="30" t="s">
        <v>69</v>
      </c>
      <c r="B257" s="41"/>
      <c r="C257" s="56">
        <f>D257+E257+F257+G257</f>
        <v>49</v>
      </c>
      <c r="D257" s="56">
        <v>0</v>
      </c>
      <c r="E257" s="56">
        <v>30</v>
      </c>
      <c r="F257" s="56">
        <v>19</v>
      </c>
      <c r="G257" s="56">
        <v>0</v>
      </c>
      <c r="H257" s="53"/>
      <c r="I257" s="53"/>
      <c r="J257" s="57"/>
      <c r="K257" s="58"/>
      <c r="L257" s="58"/>
      <c r="IJ257" s="55"/>
      <c r="IK257" s="55"/>
      <c r="IL257" s="55"/>
      <c r="IM257" s="55"/>
      <c r="IN257" s="55"/>
    </row>
    <row r="258" spans="1:248" s="54" customFormat="1" ht="16.5" customHeight="1" hidden="1">
      <c r="A258" s="30" t="s">
        <v>70</v>
      </c>
      <c r="B258" s="41"/>
      <c r="C258" s="56">
        <f>SUM(D258:G258)</f>
        <v>0</v>
      </c>
      <c r="D258" s="56">
        <v>0</v>
      </c>
      <c r="E258" s="56">
        <v>0</v>
      </c>
      <c r="F258" s="56">
        <v>0</v>
      </c>
      <c r="G258" s="56">
        <v>0</v>
      </c>
      <c r="H258" s="53"/>
      <c r="I258" s="53"/>
      <c r="J258" s="57"/>
      <c r="K258" s="58"/>
      <c r="L258" s="58"/>
      <c r="IJ258" s="55"/>
      <c r="IK258" s="55"/>
      <c r="IL258" s="55"/>
      <c r="IM258" s="55"/>
      <c r="IN258" s="55"/>
    </row>
    <row r="259" spans="1:248" s="68" customFormat="1" ht="14.25" hidden="1">
      <c r="A259" s="35" t="s">
        <v>21</v>
      </c>
      <c r="B259" s="66"/>
      <c r="C259" s="84">
        <f>D259+E259+F259+G259</f>
        <v>0</v>
      </c>
      <c r="D259" s="56">
        <v>0</v>
      </c>
      <c r="E259" s="56">
        <v>0</v>
      </c>
      <c r="F259" s="56">
        <v>0</v>
      </c>
      <c r="G259" s="56">
        <v>0</v>
      </c>
      <c r="H259" s="57"/>
      <c r="I259" s="57"/>
      <c r="J259" s="57"/>
      <c r="K259" s="57"/>
      <c r="L259" s="57"/>
      <c r="IJ259" s="69"/>
      <c r="IK259" s="69"/>
      <c r="IL259" s="69"/>
      <c r="IM259" s="69"/>
      <c r="IN259" s="69"/>
    </row>
    <row r="260" spans="1:248" s="63" customFormat="1" ht="16.5" customHeight="1">
      <c r="A260" s="130" t="s">
        <v>71</v>
      </c>
      <c r="B260" s="130"/>
      <c r="C260" s="32">
        <f>C250</f>
        <v>49</v>
      </c>
      <c r="D260" s="32">
        <f>D250</f>
        <v>0</v>
      </c>
      <c r="E260" s="32">
        <f>E250</f>
        <v>30</v>
      </c>
      <c r="F260" s="32">
        <f>F250</f>
        <v>19</v>
      </c>
      <c r="G260" s="32">
        <f>G250</f>
        <v>0</v>
      </c>
      <c r="H260" s="60"/>
      <c r="I260" s="60"/>
      <c r="J260" s="61"/>
      <c r="K260" s="62"/>
      <c r="L260" s="62"/>
      <c r="IJ260" s="64"/>
      <c r="IK260" s="64"/>
      <c r="IL260" s="64"/>
      <c r="IM260" s="64"/>
      <c r="IN260" s="64"/>
    </row>
    <row r="261" spans="1:248" s="54" customFormat="1" ht="16.5" customHeight="1">
      <c r="A261" s="122" t="s">
        <v>72</v>
      </c>
      <c r="B261" s="122"/>
      <c r="C261" s="122"/>
      <c r="D261" s="74"/>
      <c r="E261" s="74"/>
      <c r="F261" s="56"/>
      <c r="G261" s="91"/>
      <c r="H261" s="53"/>
      <c r="I261" s="53"/>
      <c r="J261" s="57"/>
      <c r="K261" s="58"/>
      <c r="L261" s="58"/>
      <c r="IJ261" s="55"/>
      <c r="IK261" s="55"/>
      <c r="IL261" s="55"/>
      <c r="IM261" s="55"/>
      <c r="IN261" s="55"/>
    </row>
    <row r="262" spans="1:247" s="54" customFormat="1" ht="153" customHeight="1">
      <c r="A262" s="21" t="s">
        <v>73</v>
      </c>
      <c r="B262" s="47" t="s">
        <v>74</v>
      </c>
      <c r="C262" s="23">
        <f>D262+E262+F262+G262</f>
        <v>42864</v>
      </c>
      <c r="D262" s="23">
        <f>D263+D264+D265</f>
        <v>0</v>
      </c>
      <c r="E262" s="23">
        <f>E263+E264+E265</f>
        <v>649</v>
      </c>
      <c r="F262" s="23">
        <f>F263+F264+F265</f>
        <v>21108</v>
      </c>
      <c r="G262" s="23">
        <f>G263+G264+G265</f>
        <v>21107</v>
      </c>
      <c r="H262" s="53"/>
      <c r="I262" s="70">
        <f>I263+I265</f>
        <v>42864</v>
      </c>
      <c r="J262" s="70">
        <f>J263+J265</f>
        <v>0</v>
      </c>
      <c r="K262" s="70">
        <f>K263+K265</f>
        <v>649</v>
      </c>
      <c r="L262" s="70">
        <f>L263+L265</f>
        <v>21108</v>
      </c>
      <c r="M262" s="70">
        <f>M263+M265</f>
        <v>21107</v>
      </c>
      <c r="II262" s="55"/>
      <c r="IJ262" s="55"/>
      <c r="IK262" s="55"/>
      <c r="IL262" s="55"/>
      <c r="IM262" s="55"/>
    </row>
    <row r="263" spans="1:248" s="54" customFormat="1" ht="19.5" customHeight="1">
      <c r="A263" s="26" t="s">
        <v>15</v>
      </c>
      <c r="B263" s="41"/>
      <c r="C263" s="56">
        <f>D263+E263+F263+G263</f>
        <v>6400.65</v>
      </c>
      <c r="D263" s="56">
        <f>J263*0.15</f>
        <v>0</v>
      </c>
      <c r="E263" s="56">
        <f>K263*0.15</f>
        <v>97.35</v>
      </c>
      <c r="F263" s="56">
        <f>L263*0.15</f>
        <v>3151.65</v>
      </c>
      <c r="G263" s="56">
        <f>M263*0.15</f>
        <v>3151.65</v>
      </c>
      <c r="H263" s="53"/>
      <c r="I263" s="127">
        <f>J263+K263+L263+M263</f>
        <v>42671</v>
      </c>
      <c r="J263" s="127">
        <f>0</f>
        <v>0</v>
      </c>
      <c r="K263" s="127">
        <f>14+627+2+6</f>
        <v>649</v>
      </c>
      <c r="L263" s="128">
        <f>(38304+121+360+261+2976)/2</f>
        <v>21011</v>
      </c>
      <c r="M263" s="128">
        <f>(38304+121+360+261+2976)/2</f>
        <v>21011</v>
      </c>
      <c r="IJ263" s="55"/>
      <c r="IK263" s="55"/>
      <c r="IL263" s="55"/>
      <c r="IM263" s="55"/>
      <c r="IN263" s="55"/>
    </row>
    <row r="264" spans="1:248" s="54" customFormat="1" ht="23.25" customHeight="1">
      <c r="A264" s="30" t="s">
        <v>16</v>
      </c>
      <c r="B264" s="41"/>
      <c r="C264" s="56">
        <f>D264+E264+F264+G264</f>
        <v>36270.35</v>
      </c>
      <c r="D264" s="56">
        <f>J263*0.85</f>
        <v>0</v>
      </c>
      <c r="E264" s="56">
        <f>K263*0.85</f>
        <v>551.65</v>
      </c>
      <c r="F264" s="56">
        <f>L263*0.85</f>
        <v>17859.35</v>
      </c>
      <c r="G264" s="56">
        <f>M263*0.85</f>
        <v>17859.35</v>
      </c>
      <c r="H264" s="53"/>
      <c r="I264" s="127"/>
      <c r="J264" s="127"/>
      <c r="K264" s="127"/>
      <c r="L264" s="127"/>
      <c r="M264" s="128"/>
      <c r="IJ264" s="55"/>
      <c r="IK264" s="55"/>
      <c r="IL264" s="55"/>
      <c r="IM264" s="55"/>
      <c r="IN264" s="55"/>
    </row>
    <row r="265" spans="1:248" s="54" customFormat="1" ht="21.75" customHeight="1">
      <c r="A265" s="30" t="s">
        <v>17</v>
      </c>
      <c r="B265" s="41"/>
      <c r="C265" s="56">
        <f>D265+E265+F265+G265</f>
        <v>193</v>
      </c>
      <c r="D265" s="56">
        <f>J265</f>
        <v>0</v>
      </c>
      <c r="E265" s="56">
        <f>K265</f>
        <v>0</v>
      </c>
      <c r="F265" s="56">
        <f>L265</f>
        <v>97</v>
      </c>
      <c r="G265" s="56">
        <f>M265</f>
        <v>96</v>
      </c>
      <c r="H265" s="53"/>
      <c r="I265" s="70">
        <f>J265+K265+L265+M265</f>
        <v>193</v>
      </c>
      <c r="J265" s="70"/>
      <c r="K265" s="70"/>
      <c r="L265" s="70">
        <f>194/2</f>
        <v>97</v>
      </c>
      <c r="M265" s="70">
        <f>192/2</f>
        <v>96</v>
      </c>
      <c r="IJ265" s="55"/>
      <c r="IK265" s="55"/>
      <c r="IL265" s="55"/>
      <c r="IM265" s="55"/>
      <c r="IN265" s="55"/>
    </row>
    <row r="266" spans="1:248" s="54" customFormat="1" ht="16.5" customHeight="1" hidden="1">
      <c r="A266" s="30"/>
      <c r="B266" s="41" t="s">
        <v>75</v>
      </c>
      <c r="C266" s="56"/>
      <c r="D266" s="56"/>
      <c r="E266" s="56"/>
      <c r="F266" s="56"/>
      <c r="G266" s="56"/>
      <c r="H266" s="53"/>
      <c r="I266" s="53"/>
      <c r="J266" s="57"/>
      <c r="K266" s="58"/>
      <c r="L266" s="58"/>
      <c r="IJ266" s="55"/>
      <c r="IK266" s="55"/>
      <c r="IL266" s="55"/>
      <c r="IM266" s="55"/>
      <c r="IN266" s="55"/>
    </row>
    <row r="267" spans="1:248" s="63" customFormat="1" ht="18.75" customHeight="1" hidden="1">
      <c r="A267" s="31"/>
      <c r="B267" s="47"/>
      <c r="C267" s="59">
        <f>C268+C269+C270+C272+C271</f>
        <v>42864.399999999994</v>
      </c>
      <c r="D267" s="59">
        <f>D268+D269+D270+D272+D271</f>
        <v>0</v>
      </c>
      <c r="E267" s="59">
        <f>E268+E269+E270+E272+E271</f>
        <v>649</v>
      </c>
      <c r="F267" s="59">
        <f>F268+F269+F270+F272+F271</f>
        <v>21108.2</v>
      </c>
      <c r="G267" s="59">
        <f>G268+G269+G270+G272+G271</f>
        <v>21107.2</v>
      </c>
      <c r="H267" s="60"/>
      <c r="I267" s="60"/>
      <c r="J267" s="61"/>
      <c r="K267" s="62"/>
      <c r="L267" s="62"/>
      <c r="IJ267" s="64"/>
      <c r="IK267" s="64"/>
      <c r="IL267" s="64"/>
      <c r="IM267" s="64"/>
      <c r="IN267" s="64"/>
    </row>
    <row r="268" spans="1:248" s="63" customFormat="1" ht="18.75" customHeight="1" hidden="1">
      <c r="A268" s="30" t="s">
        <v>18</v>
      </c>
      <c r="B268" s="47"/>
      <c r="C268" s="65">
        <f aca="true" t="shared" si="5" ref="C268:C273">D268+E268+F268+G268</f>
        <v>5547.63</v>
      </c>
      <c r="D268" s="65">
        <f>J263*0.13</f>
        <v>0</v>
      </c>
      <c r="E268" s="65">
        <f>K263*0.13</f>
        <v>84.37</v>
      </c>
      <c r="F268" s="92">
        <f>L263*0.13+0.2</f>
        <v>2731.63</v>
      </c>
      <c r="G268" s="92">
        <f>M263*0.13+0.2</f>
        <v>2731.63</v>
      </c>
      <c r="H268" s="53"/>
      <c r="I268" s="53"/>
      <c r="J268" s="57"/>
      <c r="K268" s="58"/>
      <c r="L268" s="58"/>
      <c r="M268" s="54"/>
      <c r="IJ268" s="64"/>
      <c r="IK268" s="64"/>
      <c r="IL268" s="64"/>
      <c r="IM268" s="64"/>
      <c r="IN268" s="64"/>
    </row>
    <row r="269" spans="1:248" s="63" customFormat="1" ht="18.75" customHeight="1" hidden="1">
      <c r="A269" s="30" t="s">
        <v>19</v>
      </c>
      <c r="B269" s="47"/>
      <c r="C269" s="65">
        <f t="shared" si="5"/>
        <v>35467.35</v>
      </c>
      <c r="D269" s="65">
        <f>J263*0.85</f>
        <v>0</v>
      </c>
      <c r="E269" s="65">
        <f>K263*0.85</f>
        <v>551.65</v>
      </c>
      <c r="F269" s="65">
        <f>L263*0.85-803</f>
        <v>17056.35</v>
      </c>
      <c r="G269" s="65">
        <f>(M263*0.85)</f>
        <v>17859.35</v>
      </c>
      <c r="H269" s="53"/>
      <c r="I269" s="53"/>
      <c r="J269" s="57"/>
      <c r="K269" s="58"/>
      <c r="L269" s="58"/>
      <c r="M269" s="54"/>
      <c r="IJ269" s="64"/>
      <c r="IK269" s="64"/>
      <c r="IL269" s="64"/>
      <c r="IM269" s="64"/>
      <c r="IN269" s="64"/>
    </row>
    <row r="270" spans="1:248" s="63" customFormat="1" ht="18.75" customHeight="1" hidden="1">
      <c r="A270" s="30" t="s">
        <v>20</v>
      </c>
      <c r="B270" s="47"/>
      <c r="C270" s="65">
        <f t="shared" si="5"/>
        <v>803</v>
      </c>
      <c r="D270" s="93">
        <v>0</v>
      </c>
      <c r="E270" s="65">
        <v>0</v>
      </c>
      <c r="F270" s="65">
        <v>803</v>
      </c>
      <c r="G270" s="65">
        <v>0</v>
      </c>
      <c r="H270" s="53"/>
      <c r="I270" s="53"/>
      <c r="J270" s="57"/>
      <c r="K270" s="58"/>
      <c r="L270" s="58"/>
      <c r="M270" s="54"/>
      <c r="IJ270" s="64"/>
      <c r="IK270" s="64"/>
      <c r="IL270" s="64"/>
      <c r="IM270" s="64"/>
      <c r="IN270" s="64"/>
    </row>
    <row r="271" spans="1:248" s="63" customFormat="1" ht="18.75" customHeight="1" hidden="1">
      <c r="A271" s="30" t="s">
        <v>30</v>
      </c>
      <c r="B271" s="47"/>
      <c r="C271" s="65">
        <f t="shared" si="5"/>
        <v>0</v>
      </c>
      <c r="D271" s="65">
        <v>0</v>
      </c>
      <c r="E271" s="65">
        <v>0</v>
      </c>
      <c r="F271" s="65">
        <v>0</v>
      </c>
      <c r="G271" s="65">
        <v>0</v>
      </c>
      <c r="H271" s="53"/>
      <c r="I271" s="53"/>
      <c r="J271" s="57"/>
      <c r="K271" s="58"/>
      <c r="L271" s="58"/>
      <c r="M271" s="54"/>
      <c r="IJ271" s="64"/>
      <c r="IK271" s="64"/>
      <c r="IL271" s="64"/>
      <c r="IM271" s="64"/>
      <c r="IN271" s="64"/>
    </row>
    <row r="272" spans="1:248" s="68" customFormat="1" ht="14.25" hidden="1">
      <c r="A272" s="35" t="s">
        <v>21</v>
      </c>
      <c r="B272" s="66"/>
      <c r="C272" s="67">
        <f t="shared" si="5"/>
        <v>1046.42</v>
      </c>
      <c r="D272" s="65">
        <f>J263*2/100+J265</f>
        <v>0</v>
      </c>
      <c r="E272" s="65">
        <f>K263*2/100+K265</f>
        <v>12.98</v>
      </c>
      <c r="F272" s="65">
        <f>L263*2/100+L265</f>
        <v>517.22</v>
      </c>
      <c r="G272" s="65">
        <f>M263*2/100+M265</f>
        <v>516.22</v>
      </c>
      <c r="H272" s="57"/>
      <c r="I272" s="57"/>
      <c r="J272" s="57"/>
      <c r="K272" s="57"/>
      <c r="L272" s="57"/>
      <c r="IJ272" s="69"/>
      <c r="IK272" s="69"/>
      <c r="IL272" s="69"/>
      <c r="IM272" s="69"/>
      <c r="IN272" s="69"/>
    </row>
    <row r="273" spans="1:247" s="54" customFormat="1" ht="28.5" customHeight="1">
      <c r="A273" s="21" t="s">
        <v>73</v>
      </c>
      <c r="B273" s="47" t="s">
        <v>76</v>
      </c>
      <c r="C273" s="23">
        <f t="shared" si="5"/>
        <v>27861</v>
      </c>
      <c r="D273" s="23">
        <f>D274+D275+D276</f>
        <v>0</v>
      </c>
      <c r="E273" s="23">
        <f>E274+E275+E276</f>
        <v>9432</v>
      </c>
      <c r="F273" s="23">
        <f>F274+F275+F276</f>
        <v>9215</v>
      </c>
      <c r="G273" s="23">
        <f>G274+G275+G276</f>
        <v>9214</v>
      </c>
      <c r="H273" s="53"/>
      <c r="I273" s="53">
        <f>I274+I276</f>
        <v>27861</v>
      </c>
      <c r="J273" s="53">
        <f>J274+J276</f>
        <v>0</v>
      </c>
      <c r="K273" s="53">
        <f>K274+K276</f>
        <v>9432</v>
      </c>
      <c r="L273" s="53">
        <f>L274+L276</f>
        <v>9215</v>
      </c>
      <c r="M273" s="53">
        <f>M274+M276</f>
        <v>9214</v>
      </c>
      <c r="II273" s="55"/>
      <c r="IJ273" s="55"/>
      <c r="IK273" s="55"/>
      <c r="IL273" s="55"/>
      <c r="IM273" s="55"/>
    </row>
    <row r="274" spans="1:248" s="54" customFormat="1" ht="16.5" customHeight="1">
      <c r="A274" s="26" t="s">
        <v>15</v>
      </c>
      <c r="B274" s="41"/>
      <c r="C274" s="56">
        <f>(D274+E274+F274+G274)</f>
        <v>4170.3</v>
      </c>
      <c r="D274" s="56">
        <v>0</v>
      </c>
      <c r="E274" s="56">
        <f>K274*0.15</f>
        <v>1411.8</v>
      </c>
      <c r="F274" s="56">
        <f>L274*0.15</f>
        <v>1379.25</v>
      </c>
      <c r="G274" s="56">
        <f>M274*0.15</f>
        <v>1379.25</v>
      </c>
      <c r="H274" s="53"/>
      <c r="I274" s="125">
        <f>J274+K274+L274+M274</f>
        <v>27802</v>
      </c>
      <c r="J274" s="125">
        <v>0</v>
      </c>
      <c r="K274" s="125">
        <f>(27802-217)/3+217</f>
        <v>9412</v>
      </c>
      <c r="L274" s="126">
        <f>(27802-217)/3</f>
        <v>9195</v>
      </c>
      <c r="M274" s="126">
        <f>(27802-217)/3</f>
        <v>9195</v>
      </c>
      <c r="IJ274" s="55"/>
      <c r="IK274" s="55"/>
      <c r="IL274" s="55"/>
      <c r="IM274" s="55"/>
      <c r="IN274" s="55"/>
    </row>
    <row r="275" spans="1:248" s="54" customFormat="1" ht="16.5" customHeight="1">
      <c r="A275" s="30" t="s">
        <v>16</v>
      </c>
      <c r="B275" s="41"/>
      <c r="C275" s="56">
        <f>(D275+E275+F275+G275)</f>
        <v>23631.7</v>
      </c>
      <c r="D275" s="56">
        <v>0</v>
      </c>
      <c r="E275" s="56">
        <f>K274*0.85</f>
        <v>8000.2</v>
      </c>
      <c r="F275" s="56">
        <f>L274*0.85</f>
        <v>7815.75</v>
      </c>
      <c r="G275" s="56">
        <f>M274*0.85</f>
        <v>7815.75</v>
      </c>
      <c r="H275" s="53"/>
      <c r="I275" s="125"/>
      <c r="J275" s="125"/>
      <c r="K275" s="125"/>
      <c r="L275" s="125"/>
      <c r="M275" s="126"/>
      <c r="IJ275" s="55"/>
      <c r="IK275" s="55"/>
      <c r="IL275" s="55"/>
      <c r="IM275" s="55"/>
      <c r="IN275" s="55"/>
    </row>
    <row r="276" spans="1:248" s="54" customFormat="1" ht="16.5" customHeight="1">
      <c r="A276" s="30" t="s">
        <v>17</v>
      </c>
      <c r="B276" s="41"/>
      <c r="C276" s="56">
        <f>D276+E276+F276+G276</f>
        <v>59</v>
      </c>
      <c r="D276" s="56">
        <v>0</v>
      </c>
      <c r="E276" s="56">
        <f>K276</f>
        <v>20</v>
      </c>
      <c r="F276" s="56">
        <f>L276</f>
        <v>20</v>
      </c>
      <c r="G276" s="56">
        <f>M276</f>
        <v>19</v>
      </c>
      <c r="H276" s="53"/>
      <c r="I276" s="53">
        <f>J276+K276+L276+M276</f>
        <v>59</v>
      </c>
      <c r="J276" s="53"/>
      <c r="K276" s="53">
        <f>60/3</f>
        <v>20</v>
      </c>
      <c r="L276" s="53">
        <f>60/3</f>
        <v>20</v>
      </c>
      <c r="M276" s="53">
        <f>60/3-1</f>
        <v>19</v>
      </c>
      <c r="IJ276" s="55"/>
      <c r="IK276" s="55"/>
      <c r="IL276" s="55"/>
      <c r="IM276" s="55"/>
      <c r="IN276" s="55"/>
    </row>
    <row r="277" spans="1:248" s="54" customFormat="1" ht="16.5" customHeight="1" hidden="1">
      <c r="A277" s="30"/>
      <c r="B277" s="41"/>
      <c r="C277" s="56"/>
      <c r="D277" s="56"/>
      <c r="E277" s="56"/>
      <c r="F277" s="56"/>
      <c r="G277" s="56"/>
      <c r="H277" s="53"/>
      <c r="I277" s="53"/>
      <c r="J277" s="57"/>
      <c r="K277" s="58"/>
      <c r="L277" s="58"/>
      <c r="IJ277" s="55"/>
      <c r="IK277" s="55"/>
      <c r="IL277" s="55"/>
      <c r="IM277" s="55"/>
      <c r="IN277" s="55"/>
    </row>
    <row r="278" spans="1:248" s="54" customFormat="1" ht="16.5" customHeight="1" hidden="1">
      <c r="A278" s="30"/>
      <c r="B278" s="41"/>
      <c r="C278" s="59">
        <f>C279+C280+C281+C283+C282</f>
        <v>27861</v>
      </c>
      <c r="D278" s="59">
        <f>D279+D280+D281+D283+D282</f>
        <v>0</v>
      </c>
      <c r="E278" s="59">
        <f>E279+E280+E281+E283+E282</f>
        <v>9432</v>
      </c>
      <c r="F278" s="59">
        <f>F279+F280+F281+F283+F282</f>
        <v>9215</v>
      </c>
      <c r="G278" s="59">
        <f>G279+G280+G281+G283+G282</f>
        <v>9214</v>
      </c>
      <c r="H278" s="60"/>
      <c r="I278" s="60"/>
      <c r="J278" s="61"/>
      <c r="K278" s="62"/>
      <c r="L278" s="62"/>
      <c r="M278" s="63"/>
      <c r="IJ278" s="55"/>
      <c r="IK278" s="55"/>
      <c r="IL278" s="55"/>
      <c r="IM278" s="55"/>
      <c r="IN278" s="55"/>
    </row>
    <row r="279" spans="1:248" s="54" customFormat="1" ht="16.5" customHeight="1" hidden="1">
      <c r="A279" s="30" t="s">
        <v>18</v>
      </c>
      <c r="B279" s="41"/>
      <c r="C279" s="65">
        <f aca="true" t="shared" si="6" ref="C279:C287">D279+E279+F279+G279</f>
        <v>3614.26</v>
      </c>
      <c r="D279" s="65">
        <v>0</v>
      </c>
      <c r="E279" s="65">
        <f>K274*0.13</f>
        <v>1223.56</v>
      </c>
      <c r="F279" s="65">
        <f>L274*0.13</f>
        <v>1195.3500000000001</v>
      </c>
      <c r="G279" s="65">
        <f>M274*0.13</f>
        <v>1195.3500000000001</v>
      </c>
      <c r="H279" s="53"/>
      <c r="I279" s="53"/>
      <c r="J279" s="57"/>
      <c r="K279" s="58"/>
      <c r="L279" s="58"/>
      <c r="IJ279" s="55"/>
      <c r="IK279" s="55"/>
      <c r="IL279" s="55"/>
      <c r="IM279" s="55"/>
      <c r="IN279" s="55"/>
    </row>
    <row r="280" spans="1:248" s="54" customFormat="1" ht="16.5" customHeight="1" hidden="1">
      <c r="A280" s="30" t="s">
        <v>19</v>
      </c>
      <c r="B280" s="41"/>
      <c r="C280" s="65">
        <f t="shared" si="6"/>
        <v>23438.7</v>
      </c>
      <c r="D280" s="65">
        <v>0</v>
      </c>
      <c r="E280" s="65">
        <f>K274*0.85-E281</f>
        <v>7807.2</v>
      </c>
      <c r="F280" s="65">
        <f>L274*0.85</f>
        <v>7815.75</v>
      </c>
      <c r="G280" s="65">
        <f>M274*0.85</f>
        <v>7815.75</v>
      </c>
      <c r="H280" s="53"/>
      <c r="I280" s="53"/>
      <c r="J280" s="57"/>
      <c r="K280" s="58"/>
      <c r="L280" s="58"/>
      <c r="IJ280" s="55"/>
      <c r="IK280" s="55"/>
      <c r="IL280" s="55"/>
      <c r="IM280" s="55"/>
      <c r="IN280" s="55"/>
    </row>
    <row r="281" spans="1:248" s="54" customFormat="1" ht="16.5" customHeight="1" hidden="1">
      <c r="A281" s="30" t="s">
        <v>20</v>
      </c>
      <c r="B281" s="41"/>
      <c r="C281" s="65">
        <f t="shared" si="6"/>
        <v>193</v>
      </c>
      <c r="D281" s="65">
        <v>0</v>
      </c>
      <c r="E281" s="65">
        <v>193</v>
      </c>
      <c r="F281" s="65">
        <v>0</v>
      </c>
      <c r="G281" s="65">
        <v>0</v>
      </c>
      <c r="H281" s="53"/>
      <c r="I281" s="53"/>
      <c r="J281" s="57"/>
      <c r="K281" s="58"/>
      <c r="L281" s="58"/>
      <c r="IJ281" s="55"/>
      <c r="IK281" s="55"/>
      <c r="IL281" s="55"/>
      <c r="IM281" s="55"/>
      <c r="IN281" s="55"/>
    </row>
    <row r="282" spans="1:248" s="63" customFormat="1" ht="16.5" customHeight="1" hidden="1">
      <c r="A282" s="30" t="s">
        <v>30</v>
      </c>
      <c r="B282" s="47"/>
      <c r="C282" s="65">
        <f t="shared" si="6"/>
        <v>0</v>
      </c>
      <c r="D282" s="65">
        <v>0</v>
      </c>
      <c r="E282" s="65">
        <v>0</v>
      </c>
      <c r="F282" s="65">
        <v>0</v>
      </c>
      <c r="G282" s="65">
        <v>0</v>
      </c>
      <c r="H282" s="53"/>
      <c r="I282" s="53"/>
      <c r="J282" s="57"/>
      <c r="K282" s="58"/>
      <c r="L282" s="58"/>
      <c r="M282" s="54"/>
      <c r="IJ282" s="64"/>
      <c r="IK282" s="64"/>
      <c r="IL282" s="64"/>
      <c r="IM282" s="64"/>
      <c r="IN282" s="64"/>
    </row>
    <row r="283" spans="1:248" s="68" customFormat="1" ht="31.5" customHeight="1" hidden="1">
      <c r="A283" s="35" t="s">
        <v>21</v>
      </c>
      <c r="B283" s="66"/>
      <c r="C283" s="67">
        <f t="shared" si="6"/>
        <v>615.04</v>
      </c>
      <c r="D283" s="65">
        <f>J274*2/100+J276</f>
        <v>0</v>
      </c>
      <c r="E283" s="65">
        <f>K274*2/100+K276</f>
        <v>208.24</v>
      </c>
      <c r="F283" s="65">
        <f>L274*2/100+L276</f>
        <v>203.9</v>
      </c>
      <c r="G283" s="65">
        <f>M274*2/100+M276</f>
        <v>202.9</v>
      </c>
      <c r="H283" s="57"/>
      <c r="I283" s="57"/>
      <c r="J283" s="57"/>
      <c r="K283" s="57"/>
      <c r="L283" s="57"/>
      <c r="IJ283" s="69"/>
      <c r="IK283" s="69"/>
      <c r="IL283" s="69"/>
      <c r="IM283" s="69"/>
      <c r="IN283" s="69"/>
    </row>
    <row r="284" spans="1:247" s="54" customFormat="1" ht="30" customHeight="1">
      <c r="A284" s="21" t="s">
        <v>73</v>
      </c>
      <c r="B284" s="47" t="s">
        <v>77</v>
      </c>
      <c r="C284" s="23">
        <f t="shared" si="6"/>
        <v>11353.999999999998</v>
      </c>
      <c r="D284" s="23">
        <f>D285+D286+D287</f>
        <v>0</v>
      </c>
      <c r="E284" s="23">
        <f>E285+E286+E287</f>
        <v>1403.9999999999998</v>
      </c>
      <c r="F284" s="23">
        <f>F285+F286+F287</f>
        <v>48</v>
      </c>
      <c r="G284" s="23">
        <f>G285+G286+G287</f>
        <v>9901.999999999998</v>
      </c>
      <c r="H284" s="53"/>
      <c r="I284" s="70">
        <f>I285+I287</f>
        <v>11354</v>
      </c>
      <c r="J284" s="70">
        <f>J285+J287</f>
        <v>0</v>
      </c>
      <c r="K284" s="70">
        <f>K285+K287</f>
        <v>1404</v>
      </c>
      <c r="L284" s="70">
        <f>L285+L287</f>
        <v>48</v>
      </c>
      <c r="M284" s="70">
        <f>M285+M287</f>
        <v>9902</v>
      </c>
      <c r="II284" s="55"/>
      <c r="IJ284" s="55"/>
      <c r="IK284" s="55"/>
      <c r="IL284" s="55"/>
      <c r="IM284" s="55"/>
    </row>
    <row r="285" spans="1:248" s="54" customFormat="1" ht="16.5" customHeight="1">
      <c r="A285" s="26" t="s">
        <v>15</v>
      </c>
      <c r="B285" s="41"/>
      <c r="C285" s="56">
        <f t="shared" si="6"/>
        <v>1703.1</v>
      </c>
      <c r="D285" s="56">
        <f>J285*0.15</f>
        <v>0</v>
      </c>
      <c r="E285" s="56">
        <f>K285*0.15</f>
        <v>210.6</v>
      </c>
      <c r="F285" s="56">
        <f>L285*0.15</f>
        <v>7.199999999999999</v>
      </c>
      <c r="G285" s="56">
        <f>M285*0.15</f>
        <v>1485.3</v>
      </c>
      <c r="H285" s="53"/>
      <c r="I285" s="127">
        <f>J285+K285+L285+M285</f>
        <v>11354</v>
      </c>
      <c r="J285" s="127">
        <v>0</v>
      </c>
      <c r="K285" s="127">
        <f>18+1386</f>
        <v>1404</v>
      </c>
      <c r="L285" s="128">
        <f>48</f>
        <v>48</v>
      </c>
      <c r="M285" s="128">
        <f>9528+12+26+107+229</f>
        <v>9902</v>
      </c>
      <c r="IJ285" s="55"/>
      <c r="IK285" s="55"/>
      <c r="IL285" s="55"/>
      <c r="IM285" s="55"/>
      <c r="IN285" s="55"/>
    </row>
    <row r="286" spans="1:248" s="54" customFormat="1" ht="16.5" customHeight="1">
      <c r="A286" s="30" t="s">
        <v>16</v>
      </c>
      <c r="B286" s="41"/>
      <c r="C286" s="56">
        <f t="shared" si="6"/>
        <v>9650.899999999998</v>
      </c>
      <c r="D286" s="56">
        <f>J285*0.85</f>
        <v>0</v>
      </c>
      <c r="E286" s="56">
        <f>K285*0.85</f>
        <v>1193.3999999999999</v>
      </c>
      <c r="F286" s="56">
        <f>L285*0.85</f>
        <v>40.8</v>
      </c>
      <c r="G286" s="56">
        <f>M285*0.85</f>
        <v>8416.699999999999</v>
      </c>
      <c r="H286" s="53"/>
      <c r="I286" s="127"/>
      <c r="J286" s="127"/>
      <c r="K286" s="127"/>
      <c r="L286" s="127"/>
      <c r="M286" s="128"/>
      <c r="IJ286" s="55"/>
      <c r="IK286" s="55"/>
      <c r="IL286" s="55"/>
      <c r="IM286" s="55"/>
      <c r="IN286" s="55"/>
    </row>
    <row r="287" spans="1:248" s="54" customFormat="1" ht="18" customHeight="1">
      <c r="A287" s="30" t="s">
        <v>17</v>
      </c>
      <c r="B287" s="41"/>
      <c r="C287" s="56">
        <f t="shared" si="6"/>
        <v>0</v>
      </c>
      <c r="D287" s="56">
        <f>J287</f>
        <v>0</v>
      </c>
      <c r="E287" s="56">
        <f>K287</f>
        <v>0</v>
      </c>
      <c r="F287" s="56">
        <f>L287</f>
        <v>0</v>
      </c>
      <c r="G287" s="56">
        <f>M287</f>
        <v>0</v>
      </c>
      <c r="H287" s="53"/>
      <c r="I287" s="70">
        <f>J287+K287+L287+M287</f>
        <v>0</v>
      </c>
      <c r="J287" s="70"/>
      <c r="K287" s="70"/>
      <c r="L287" s="70"/>
      <c r="M287" s="71"/>
      <c r="IJ287" s="55"/>
      <c r="IK287" s="55"/>
      <c r="IL287" s="55"/>
      <c r="IM287" s="55"/>
      <c r="IN287" s="55"/>
    </row>
    <row r="288" spans="1:248" s="54" customFormat="1" ht="16.5" customHeight="1" hidden="1">
      <c r="A288" s="30"/>
      <c r="B288" s="41"/>
      <c r="C288" s="56"/>
      <c r="D288" s="56"/>
      <c r="E288" s="56"/>
      <c r="F288" s="56"/>
      <c r="G288" s="56"/>
      <c r="H288" s="53"/>
      <c r="I288" s="53"/>
      <c r="J288" s="57"/>
      <c r="K288" s="58"/>
      <c r="L288" s="58"/>
      <c r="IJ288" s="55"/>
      <c r="IK288" s="55"/>
      <c r="IL288" s="55"/>
      <c r="IM288" s="55"/>
      <c r="IN288" s="55"/>
    </row>
    <row r="289" spans="1:248" s="63" customFormat="1" ht="16.5" customHeight="1" hidden="1">
      <c r="A289" s="31"/>
      <c r="B289" s="47"/>
      <c r="C289" s="59">
        <f>C290+C291+C292+C294+C293</f>
        <v>11353.999999999998</v>
      </c>
      <c r="D289" s="59">
        <f>D290+D291+D292+D294+D293</f>
        <v>0</v>
      </c>
      <c r="E289" s="59">
        <f>E290+E291+E292+E294+E293</f>
        <v>1403.9999999999998</v>
      </c>
      <c r="F289" s="59">
        <f>F290+F291+F292+F294+F293</f>
        <v>48</v>
      </c>
      <c r="G289" s="59">
        <f>G290+G291+G292+G294+G293</f>
        <v>9902</v>
      </c>
      <c r="H289" s="60"/>
      <c r="I289" s="60"/>
      <c r="J289" s="61"/>
      <c r="K289" s="62"/>
      <c r="L289" s="62"/>
      <c r="IJ289" s="64"/>
      <c r="IK289" s="64"/>
      <c r="IL289" s="64"/>
      <c r="IM289" s="64"/>
      <c r="IN289" s="64"/>
    </row>
    <row r="290" spans="1:248" s="63" customFormat="1" ht="16.5" customHeight="1" hidden="1">
      <c r="A290" s="30" t="s">
        <v>18</v>
      </c>
      <c r="B290" s="47"/>
      <c r="C290" s="65">
        <f aca="true" t="shared" si="7" ref="C290:C298">D290+E290+F290+G290</f>
        <v>1476.02</v>
      </c>
      <c r="D290" s="65">
        <f>J285*0.13</f>
        <v>0</v>
      </c>
      <c r="E290" s="65">
        <f>K285*0.13</f>
        <v>182.52</v>
      </c>
      <c r="F290" s="65">
        <f>L285*0.13</f>
        <v>6.24</v>
      </c>
      <c r="G290" s="65">
        <f>M285*0.13</f>
        <v>1287.26</v>
      </c>
      <c r="H290" s="53"/>
      <c r="I290" s="53"/>
      <c r="J290" s="57"/>
      <c r="K290" s="58"/>
      <c r="L290" s="58"/>
      <c r="M290" s="54"/>
      <c r="IJ290" s="64"/>
      <c r="IK290" s="64"/>
      <c r="IL290" s="64"/>
      <c r="IM290" s="64"/>
      <c r="IN290" s="64"/>
    </row>
    <row r="291" spans="1:248" s="63" customFormat="1" ht="16.5" customHeight="1" hidden="1">
      <c r="A291" s="30" t="s">
        <v>19</v>
      </c>
      <c r="B291" s="47"/>
      <c r="C291" s="65">
        <f t="shared" si="7"/>
        <v>9650.899999999998</v>
      </c>
      <c r="D291" s="65">
        <f>J285*0.85</f>
        <v>0</v>
      </c>
      <c r="E291" s="65">
        <f>K285*0.85</f>
        <v>1193.3999999999999</v>
      </c>
      <c r="F291" s="65">
        <f>L285*0.85</f>
        <v>40.8</v>
      </c>
      <c r="G291" s="65">
        <f>M285*0.85</f>
        <v>8416.699999999999</v>
      </c>
      <c r="H291" s="53"/>
      <c r="I291" s="53"/>
      <c r="J291" s="57"/>
      <c r="K291" s="58"/>
      <c r="L291" s="58"/>
      <c r="M291" s="54"/>
      <c r="IJ291" s="64"/>
      <c r="IK291" s="64"/>
      <c r="IL291" s="64"/>
      <c r="IM291" s="64"/>
      <c r="IN291" s="64"/>
    </row>
    <row r="292" spans="1:248" s="63" customFormat="1" ht="16.5" customHeight="1" hidden="1">
      <c r="A292" s="30" t="s">
        <v>20</v>
      </c>
      <c r="B292" s="47"/>
      <c r="C292" s="65">
        <f t="shared" si="7"/>
        <v>0</v>
      </c>
      <c r="D292" s="65">
        <v>0</v>
      </c>
      <c r="E292" s="65">
        <v>0</v>
      </c>
      <c r="F292" s="65">
        <v>0</v>
      </c>
      <c r="G292" s="65">
        <v>0</v>
      </c>
      <c r="H292" s="53"/>
      <c r="I292" s="53"/>
      <c r="J292" s="57"/>
      <c r="K292" s="58"/>
      <c r="L292" s="58"/>
      <c r="M292" s="54"/>
      <c r="IJ292" s="64"/>
      <c r="IK292" s="64"/>
      <c r="IL292" s="64"/>
      <c r="IM292" s="64"/>
      <c r="IN292" s="64"/>
    </row>
    <row r="293" spans="1:248" s="63" customFormat="1" ht="16.5" customHeight="1" hidden="1">
      <c r="A293" s="30" t="s">
        <v>30</v>
      </c>
      <c r="B293" s="47"/>
      <c r="C293" s="65">
        <f t="shared" si="7"/>
        <v>0</v>
      </c>
      <c r="D293" s="65">
        <v>0</v>
      </c>
      <c r="E293" s="65">
        <v>0</v>
      </c>
      <c r="F293" s="65">
        <v>0</v>
      </c>
      <c r="G293" s="65">
        <v>0</v>
      </c>
      <c r="H293" s="53"/>
      <c r="I293" s="53"/>
      <c r="J293" s="57"/>
      <c r="K293" s="58"/>
      <c r="L293" s="58"/>
      <c r="M293" s="54"/>
      <c r="IJ293" s="64"/>
      <c r="IK293" s="64"/>
      <c r="IL293" s="64"/>
      <c r="IM293" s="64"/>
      <c r="IN293" s="64"/>
    </row>
    <row r="294" spans="1:248" s="68" customFormat="1" ht="18.75" customHeight="1" hidden="1">
      <c r="A294" s="35" t="s">
        <v>21</v>
      </c>
      <c r="B294" s="66"/>
      <c r="C294" s="67">
        <f t="shared" si="7"/>
        <v>227.07999999999998</v>
      </c>
      <c r="D294" s="65">
        <f>J285*2/100+J287</f>
        <v>0</v>
      </c>
      <c r="E294" s="65">
        <f>K285*2/100+K287</f>
        <v>28.08</v>
      </c>
      <c r="F294" s="65">
        <f>L285*2/100+L287</f>
        <v>0.96</v>
      </c>
      <c r="G294" s="65">
        <f>M285*2/100+M287</f>
        <v>198.04</v>
      </c>
      <c r="H294" s="57"/>
      <c r="I294" s="57"/>
      <c r="J294" s="57"/>
      <c r="K294" s="57"/>
      <c r="L294" s="57"/>
      <c r="IJ294" s="69"/>
      <c r="IK294" s="69"/>
      <c r="IL294" s="69"/>
      <c r="IM294" s="69"/>
      <c r="IN294" s="69"/>
    </row>
    <row r="295" spans="1:247" s="54" customFormat="1" ht="30.75" customHeight="1">
      <c r="A295" s="21" t="s">
        <v>73</v>
      </c>
      <c r="B295" s="47" t="s">
        <v>78</v>
      </c>
      <c r="C295" s="23">
        <f t="shared" si="7"/>
        <v>55835</v>
      </c>
      <c r="D295" s="23">
        <f>D296+D297+D298</f>
        <v>55835</v>
      </c>
      <c r="E295" s="23">
        <f>E296+E297+E298</f>
        <v>0</v>
      </c>
      <c r="F295" s="23">
        <f>F296+F297+F298</f>
        <v>0</v>
      </c>
      <c r="G295" s="23">
        <f>G296+G297+G298</f>
        <v>0</v>
      </c>
      <c r="H295" s="53"/>
      <c r="I295" s="70">
        <f>I296+I298</f>
        <v>55835</v>
      </c>
      <c r="J295" s="70">
        <f>J296+J298</f>
        <v>55835</v>
      </c>
      <c r="K295" s="70">
        <f>K296+K298</f>
        <v>0</v>
      </c>
      <c r="L295" s="70">
        <f>L296+L298</f>
        <v>0</v>
      </c>
      <c r="M295" s="70">
        <f>M296+M298</f>
        <v>0</v>
      </c>
      <c r="II295" s="55"/>
      <c r="IJ295" s="55"/>
      <c r="IK295" s="55"/>
      <c r="IL295" s="55"/>
      <c r="IM295" s="55"/>
    </row>
    <row r="296" spans="1:248" s="54" customFormat="1" ht="16.5" customHeight="1">
      <c r="A296" s="26" t="s">
        <v>15</v>
      </c>
      <c r="B296" s="41"/>
      <c r="C296" s="56">
        <f t="shared" si="7"/>
        <v>7038</v>
      </c>
      <c r="D296" s="56">
        <f>J296*0.15</f>
        <v>7038</v>
      </c>
      <c r="E296" s="56">
        <f>K296*0.15</f>
        <v>0</v>
      </c>
      <c r="F296" s="56">
        <f>L296*0.15</f>
        <v>0</v>
      </c>
      <c r="G296" s="56">
        <f>M296*0.15</f>
        <v>0</v>
      </c>
      <c r="H296" s="53"/>
      <c r="I296" s="127">
        <f>J296+K296+L296+M296</f>
        <v>46920</v>
      </c>
      <c r="J296" s="127">
        <v>46920</v>
      </c>
      <c r="K296" s="127">
        <v>0</v>
      </c>
      <c r="L296" s="128">
        <v>0</v>
      </c>
      <c r="M296" s="128">
        <v>0</v>
      </c>
      <c r="IJ296" s="55"/>
      <c r="IK296" s="55"/>
      <c r="IL296" s="55"/>
      <c r="IM296" s="55"/>
      <c r="IN296" s="55"/>
    </row>
    <row r="297" spans="1:248" s="54" customFormat="1" ht="16.5" customHeight="1">
      <c r="A297" s="30" t="s">
        <v>16</v>
      </c>
      <c r="B297" s="41"/>
      <c r="C297" s="56">
        <f t="shared" si="7"/>
        <v>39882</v>
      </c>
      <c r="D297" s="56">
        <f>J296*0.85</f>
        <v>39882</v>
      </c>
      <c r="E297" s="56">
        <f>K296*0.85</f>
        <v>0</v>
      </c>
      <c r="F297" s="56">
        <f>L296*0.85</f>
        <v>0</v>
      </c>
      <c r="G297" s="56">
        <f>M296*0.85</f>
        <v>0</v>
      </c>
      <c r="H297" s="53"/>
      <c r="I297" s="127"/>
      <c r="J297" s="127"/>
      <c r="K297" s="127"/>
      <c r="L297" s="127"/>
      <c r="M297" s="128"/>
      <c r="IJ297" s="55"/>
      <c r="IK297" s="55"/>
      <c r="IL297" s="55"/>
      <c r="IM297" s="55"/>
      <c r="IN297" s="55"/>
    </row>
    <row r="298" spans="1:248" s="54" customFormat="1" ht="22.5" customHeight="1">
      <c r="A298" s="30" t="s">
        <v>17</v>
      </c>
      <c r="B298" s="41"/>
      <c r="C298" s="56">
        <f t="shared" si="7"/>
        <v>8915</v>
      </c>
      <c r="D298" s="56">
        <f>J298</f>
        <v>8915</v>
      </c>
      <c r="E298" s="56">
        <f>K298</f>
        <v>0</v>
      </c>
      <c r="F298" s="56">
        <f>L298</f>
        <v>0</v>
      </c>
      <c r="G298" s="56">
        <f>M298</f>
        <v>0</v>
      </c>
      <c r="H298" s="53"/>
      <c r="I298" s="70">
        <f>J298+K298+L298+M298</f>
        <v>8915</v>
      </c>
      <c r="J298" s="70">
        <v>8915</v>
      </c>
      <c r="K298" s="70">
        <v>0</v>
      </c>
      <c r="L298" s="70">
        <v>0</v>
      </c>
      <c r="M298" s="71">
        <v>0</v>
      </c>
      <c r="IJ298" s="55"/>
      <c r="IK298" s="55"/>
      <c r="IL298" s="55"/>
      <c r="IM298" s="55"/>
      <c r="IN298" s="55"/>
    </row>
    <row r="299" spans="1:248" s="54" customFormat="1" ht="16.5" customHeight="1" hidden="1">
      <c r="A299" s="30"/>
      <c r="B299" s="41"/>
      <c r="C299" s="56"/>
      <c r="D299" s="56"/>
      <c r="E299" s="56"/>
      <c r="F299" s="56"/>
      <c r="G299" s="56"/>
      <c r="H299" s="53"/>
      <c r="I299" s="70"/>
      <c r="J299" s="72"/>
      <c r="K299" s="73"/>
      <c r="L299" s="73"/>
      <c r="M299" s="71"/>
      <c r="IJ299" s="55"/>
      <c r="IK299" s="55"/>
      <c r="IL299" s="55"/>
      <c r="IM299" s="55"/>
      <c r="IN299" s="55"/>
    </row>
    <row r="300" spans="1:248" s="63" customFormat="1" ht="16.5" customHeight="1" hidden="1">
      <c r="A300" s="31"/>
      <c r="B300" s="47"/>
      <c r="C300" s="59">
        <f>C301+C302+C303+C305+C304</f>
        <v>55835</v>
      </c>
      <c r="D300" s="59">
        <f>D301+D302+D303+D305+D304</f>
        <v>55835</v>
      </c>
      <c r="E300" s="59">
        <f>E301+E302+E303+E305+E304</f>
        <v>0</v>
      </c>
      <c r="F300" s="59">
        <f>F301+F302+F303+F305+F304</f>
        <v>0</v>
      </c>
      <c r="G300" s="59">
        <f>G301+G302+G303+G305+G304</f>
        <v>0</v>
      </c>
      <c r="H300" s="60"/>
      <c r="I300" s="60"/>
      <c r="J300" s="61"/>
      <c r="K300" s="62"/>
      <c r="L300" s="62"/>
      <c r="IJ300" s="64"/>
      <c r="IK300" s="64"/>
      <c r="IL300" s="64"/>
      <c r="IM300" s="64"/>
      <c r="IN300" s="64"/>
    </row>
    <row r="301" spans="1:248" s="54" customFormat="1" ht="16.5" customHeight="1" hidden="1">
      <c r="A301" s="30" t="s">
        <v>18</v>
      </c>
      <c r="B301" s="41"/>
      <c r="C301" s="65">
        <f aca="true" t="shared" si="8" ref="C301:C309">D301+E301+F301+G301</f>
        <v>15014.4</v>
      </c>
      <c r="D301" s="65">
        <f>J296*0.13+J298-0.2</f>
        <v>15014.4</v>
      </c>
      <c r="E301" s="65">
        <f>K296*0.13+K296*0.19</f>
        <v>0</v>
      </c>
      <c r="F301" s="65">
        <f>L296*0.13+L296*0.19</f>
        <v>0</v>
      </c>
      <c r="G301" s="65">
        <f>M296*0.13</f>
        <v>0</v>
      </c>
      <c r="H301" s="53"/>
      <c r="I301" s="53"/>
      <c r="J301" s="57"/>
      <c r="K301" s="58"/>
      <c r="L301" s="58"/>
      <c r="IJ301" s="55"/>
      <c r="IK301" s="55"/>
      <c r="IL301" s="55"/>
      <c r="IM301" s="55"/>
      <c r="IN301" s="55"/>
    </row>
    <row r="302" spans="1:248" s="54" customFormat="1" ht="16.5" customHeight="1" hidden="1">
      <c r="A302" s="30" t="s">
        <v>19</v>
      </c>
      <c r="B302" s="41"/>
      <c r="C302" s="65">
        <f t="shared" si="8"/>
        <v>39882</v>
      </c>
      <c r="D302" s="65">
        <f>J296*0.85</f>
        <v>39882</v>
      </c>
      <c r="E302" s="65">
        <f>K296*0.85</f>
        <v>0</v>
      </c>
      <c r="F302" s="65">
        <f>L296*0.85</f>
        <v>0</v>
      </c>
      <c r="G302" s="65">
        <f>M296*0.85</f>
        <v>0</v>
      </c>
      <c r="H302" s="53"/>
      <c r="I302" s="53"/>
      <c r="J302" s="57"/>
      <c r="K302" s="58"/>
      <c r="L302" s="58"/>
      <c r="IJ302" s="55"/>
      <c r="IK302" s="55"/>
      <c r="IL302" s="55"/>
      <c r="IM302" s="55"/>
      <c r="IN302" s="55"/>
    </row>
    <row r="303" spans="1:248" s="54" customFormat="1" ht="16.5" customHeight="1" hidden="1">
      <c r="A303" s="30" t="s">
        <v>20</v>
      </c>
      <c r="B303" s="41"/>
      <c r="C303" s="65">
        <f t="shared" si="8"/>
        <v>0</v>
      </c>
      <c r="D303" s="65"/>
      <c r="E303" s="65"/>
      <c r="F303" s="65"/>
      <c r="G303" s="65"/>
      <c r="H303" s="53"/>
      <c r="I303" s="53"/>
      <c r="J303" s="57"/>
      <c r="K303" s="58"/>
      <c r="L303" s="58"/>
      <c r="IJ303" s="55"/>
      <c r="IK303" s="55"/>
      <c r="IL303" s="55"/>
      <c r="IM303" s="55"/>
      <c r="IN303" s="55"/>
    </row>
    <row r="304" spans="1:248" s="54" customFormat="1" ht="16.5" customHeight="1" hidden="1">
      <c r="A304" s="30" t="s">
        <v>30</v>
      </c>
      <c r="B304" s="41"/>
      <c r="C304" s="65">
        <f t="shared" si="8"/>
        <v>0</v>
      </c>
      <c r="D304" s="65"/>
      <c r="E304" s="65"/>
      <c r="F304" s="65"/>
      <c r="G304" s="65">
        <v>0</v>
      </c>
      <c r="H304" s="53"/>
      <c r="I304" s="53"/>
      <c r="J304" s="57"/>
      <c r="K304" s="58"/>
      <c r="L304" s="58"/>
      <c r="IJ304" s="55"/>
      <c r="IK304" s="55"/>
      <c r="IL304" s="55"/>
      <c r="IM304" s="55"/>
      <c r="IN304" s="55"/>
    </row>
    <row r="305" spans="1:248" s="68" customFormat="1" ht="24.75" customHeight="1" hidden="1">
      <c r="A305" s="35" t="s">
        <v>21</v>
      </c>
      <c r="B305" s="66"/>
      <c r="C305" s="67">
        <f t="shared" si="8"/>
        <v>938.6</v>
      </c>
      <c r="D305" s="65">
        <f>J296*2/100+0.2</f>
        <v>938.6</v>
      </c>
      <c r="E305" s="65">
        <f>K296*2/100</f>
        <v>0</v>
      </c>
      <c r="F305" s="65">
        <f>L296*2/100</f>
        <v>0</v>
      </c>
      <c r="G305" s="65">
        <f>M296*2/100+M298</f>
        <v>0</v>
      </c>
      <c r="H305" s="57"/>
      <c r="I305" s="57"/>
      <c r="J305" s="57"/>
      <c r="K305" s="57"/>
      <c r="L305" s="57"/>
      <c r="IJ305" s="69"/>
      <c r="IK305" s="69"/>
      <c r="IL305" s="69"/>
      <c r="IM305" s="69"/>
      <c r="IN305" s="69"/>
    </row>
    <row r="306" spans="1:247" s="54" customFormat="1" ht="93" customHeight="1">
      <c r="A306" s="86" t="s">
        <v>73</v>
      </c>
      <c r="B306" s="47" t="s">
        <v>79</v>
      </c>
      <c r="C306" s="23">
        <f t="shared" si="8"/>
        <v>6800</v>
      </c>
      <c r="D306" s="23">
        <f>D307+D308+D309</f>
        <v>0</v>
      </c>
      <c r="E306" s="23">
        <f>E307+E308+E309</f>
        <v>3400</v>
      </c>
      <c r="F306" s="23">
        <f>F307+F308+F309</f>
        <v>3400</v>
      </c>
      <c r="G306" s="23">
        <f>G307+G308+G309</f>
        <v>0</v>
      </c>
      <c r="H306" s="53"/>
      <c r="I306" s="70">
        <f>I307+I309</f>
        <v>6800</v>
      </c>
      <c r="J306" s="70">
        <f>J307+J309</f>
        <v>0</v>
      </c>
      <c r="K306" s="70">
        <f>K307+K309</f>
        <v>3400</v>
      </c>
      <c r="L306" s="70">
        <f>L307+L309</f>
        <v>3400</v>
      </c>
      <c r="M306" s="70">
        <f>M307+M309</f>
        <v>0</v>
      </c>
      <c r="N306" s="63"/>
      <c r="O306" s="63"/>
      <c r="II306" s="55"/>
      <c r="IJ306" s="55"/>
      <c r="IK306" s="55"/>
      <c r="IL306" s="55"/>
      <c r="IM306" s="55"/>
    </row>
    <row r="307" spans="1:248" s="54" customFormat="1" ht="16.5" customHeight="1">
      <c r="A307" s="26" t="s">
        <v>15</v>
      </c>
      <c r="B307" s="41"/>
      <c r="C307" s="56">
        <f t="shared" si="8"/>
        <v>1020</v>
      </c>
      <c r="D307" s="56">
        <f>J307*0.15</f>
        <v>0</v>
      </c>
      <c r="E307" s="56">
        <f>K307*0.15</f>
        <v>510</v>
      </c>
      <c r="F307" s="65">
        <f>L307*0.15</f>
        <v>510</v>
      </c>
      <c r="G307" s="56">
        <f>M307*0.15</f>
        <v>0</v>
      </c>
      <c r="H307" s="53"/>
      <c r="I307" s="127">
        <f>J307+K307+L307+M307</f>
        <v>6800</v>
      </c>
      <c r="J307" s="127">
        <v>0</v>
      </c>
      <c r="K307" s="127">
        <f>6800/2</f>
        <v>3400</v>
      </c>
      <c r="L307" s="127">
        <f>6800/2</f>
        <v>3400</v>
      </c>
      <c r="M307" s="128">
        <v>0</v>
      </c>
      <c r="IJ307" s="55"/>
      <c r="IK307" s="55"/>
      <c r="IL307" s="55"/>
      <c r="IM307" s="55"/>
      <c r="IN307" s="55"/>
    </row>
    <row r="308" spans="1:248" s="54" customFormat="1" ht="16.5" customHeight="1">
      <c r="A308" s="30" t="s">
        <v>16</v>
      </c>
      <c r="B308" s="41"/>
      <c r="C308" s="56">
        <f t="shared" si="8"/>
        <v>5780</v>
      </c>
      <c r="D308" s="56">
        <f>J307*0.85</f>
        <v>0</v>
      </c>
      <c r="E308" s="65">
        <f>K307*0.85</f>
        <v>2890</v>
      </c>
      <c r="F308" s="65">
        <f>L307*0.85</f>
        <v>2890</v>
      </c>
      <c r="G308" s="56">
        <f>M307*0.85</f>
        <v>0</v>
      </c>
      <c r="H308" s="53"/>
      <c r="I308" s="127"/>
      <c r="J308" s="127"/>
      <c r="K308" s="127"/>
      <c r="L308" s="127"/>
      <c r="M308" s="128"/>
      <c r="IJ308" s="55"/>
      <c r="IK308" s="55"/>
      <c r="IL308" s="55"/>
      <c r="IM308" s="55"/>
      <c r="IN308" s="55"/>
    </row>
    <row r="309" spans="1:248" s="54" customFormat="1" ht="16.5" customHeight="1">
      <c r="A309" s="30" t="s">
        <v>17</v>
      </c>
      <c r="B309" s="41"/>
      <c r="C309" s="56">
        <f t="shared" si="8"/>
        <v>0</v>
      </c>
      <c r="D309" s="56">
        <f>J309</f>
        <v>0</v>
      </c>
      <c r="E309" s="56">
        <f>K309</f>
        <v>0</v>
      </c>
      <c r="F309" s="56">
        <f>L309</f>
        <v>0</v>
      </c>
      <c r="G309" s="56">
        <f>M309</f>
        <v>0</v>
      </c>
      <c r="H309" s="53"/>
      <c r="I309" s="70">
        <f>J309+K309+L309+M309</f>
        <v>0</v>
      </c>
      <c r="J309" s="70">
        <v>0</v>
      </c>
      <c r="K309" s="70">
        <v>0</v>
      </c>
      <c r="L309" s="70">
        <v>0</v>
      </c>
      <c r="M309" s="71"/>
      <c r="IJ309" s="55"/>
      <c r="IK309" s="55"/>
      <c r="IL309" s="55"/>
      <c r="IM309" s="55"/>
      <c r="IN309" s="55"/>
    </row>
    <row r="310" spans="1:248" s="54" customFormat="1" ht="16.5" customHeight="1" hidden="1">
      <c r="A310" s="30"/>
      <c r="B310" s="41"/>
      <c r="C310" s="56"/>
      <c r="D310" s="56"/>
      <c r="E310" s="56"/>
      <c r="F310" s="56"/>
      <c r="G310" s="56"/>
      <c r="H310" s="53"/>
      <c r="I310" s="70"/>
      <c r="J310" s="72"/>
      <c r="K310" s="73"/>
      <c r="L310" s="73"/>
      <c r="M310" s="71"/>
      <c r="IJ310" s="55"/>
      <c r="IK310" s="55"/>
      <c r="IL310" s="55"/>
      <c r="IM310" s="55"/>
      <c r="IN310" s="55"/>
    </row>
    <row r="311" spans="1:248" s="54" customFormat="1" ht="16.5" customHeight="1" hidden="1">
      <c r="A311" s="30"/>
      <c r="B311" s="41"/>
      <c r="C311" s="59">
        <f>C312+C313+C314+C316+C315</f>
        <v>6800</v>
      </c>
      <c r="D311" s="59">
        <f>D312+D313+D314+D316+D315</f>
        <v>0</v>
      </c>
      <c r="E311" s="59">
        <f>E312+E313+E314+E316+E315</f>
        <v>3400</v>
      </c>
      <c r="F311" s="59">
        <f>F312+F313+F314+F316+F315</f>
        <v>3400</v>
      </c>
      <c r="G311" s="59">
        <f>G312+G313+G314+G316+G315</f>
        <v>0</v>
      </c>
      <c r="H311" s="60"/>
      <c r="I311" s="75"/>
      <c r="J311" s="76"/>
      <c r="K311" s="77"/>
      <c r="L311" s="77"/>
      <c r="M311" s="78"/>
      <c r="IJ311" s="55"/>
      <c r="IK311" s="55"/>
      <c r="IL311" s="55"/>
      <c r="IM311" s="55"/>
      <c r="IN311" s="55"/>
    </row>
    <row r="312" spans="1:248" s="54" customFormat="1" ht="16.5" customHeight="1" hidden="1">
      <c r="A312" s="30" t="s">
        <v>18</v>
      </c>
      <c r="B312" s="41"/>
      <c r="C312" s="65">
        <f aca="true" t="shared" si="9" ref="C312:C320">D312+E312+F312+G312</f>
        <v>884</v>
      </c>
      <c r="D312" s="65">
        <f>J307*0.13</f>
        <v>0</v>
      </c>
      <c r="E312" s="65">
        <f>K307*0.13+K309</f>
        <v>442</v>
      </c>
      <c r="F312" s="65">
        <f>L307*0.13+L309</f>
        <v>442</v>
      </c>
      <c r="G312" s="65">
        <f>M307*0.13</f>
        <v>0</v>
      </c>
      <c r="H312" s="53"/>
      <c r="I312" s="53"/>
      <c r="J312" s="57"/>
      <c r="K312" s="58"/>
      <c r="L312" s="58"/>
      <c r="IJ312" s="55"/>
      <c r="IK312" s="55"/>
      <c r="IL312" s="55"/>
      <c r="IM312" s="55"/>
      <c r="IN312" s="55"/>
    </row>
    <row r="313" spans="1:248" s="54" customFormat="1" ht="16.5" customHeight="1" hidden="1">
      <c r="A313" s="30" t="s">
        <v>19</v>
      </c>
      <c r="B313" s="41"/>
      <c r="C313" s="65">
        <f t="shared" si="9"/>
        <v>5780</v>
      </c>
      <c r="D313" s="65">
        <f>J307*0.85</f>
        <v>0</v>
      </c>
      <c r="E313" s="65">
        <f>K307*0.85</f>
        <v>2890</v>
      </c>
      <c r="F313" s="65">
        <f>L307*0.85</f>
        <v>2890</v>
      </c>
      <c r="G313" s="65">
        <f>M307*0.85</f>
        <v>0</v>
      </c>
      <c r="H313" s="53"/>
      <c r="I313" s="53"/>
      <c r="J313" s="57"/>
      <c r="K313" s="58"/>
      <c r="L313" s="58"/>
      <c r="IJ313" s="55"/>
      <c r="IK313" s="55"/>
      <c r="IL313" s="55"/>
      <c r="IM313" s="55"/>
      <c r="IN313" s="55"/>
    </row>
    <row r="314" spans="1:248" s="54" customFormat="1" ht="16.5" customHeight="1" hidden="1">
      <c r="A314" s="30" t="s">
        <v>20</v>
      </c>
      <c r="B314" s="41"/>
      <c r="C314" s="65">
        <f t="shared" si="9"/>
        <v>0</v>
      </c>
      <c r="D314" s="65">
        <v>0</v>
      </c>
      <c r="E314" s="65">
        <v>0</v>
      </c>
      <c r="F314" s="65">
        <v>0</v>
      </c>
      <c r="G314" s="65">
        <v>0</v>
      </c>
      <c r="H314" s="53"/>
      <c r="I314" s="53"/>
      <c r="J314" s="57"/>
      <c r="K314" s="58"/>
      <c r="L314" s="58"/>
      <c r="IJ314" s="55"/>
      <c r="IK314" s="55"/>
      <c r="IL314" s="55"/>
      <c r="IM314" s="55"/>
      <c r="IN314" s="55"/>
    </row>
    <row r="315" spans="1:248" s="54" customFormat="1" ht="16.5" customHeight="1" hidden="1">
      <c r="A315" s="30" t="s">
        <v>30</v>
      </c>
      <c r="B315" s="41"/>
      <c r="C315" s="65">
        <f t="shared" si="9"/>
        <v>0</v>
      </c>
      <c r="D315" s="65">
        <v>0</v>
      </c>
      <c r="E315" s="65">
        <v>0</v>
      </c>
      <c r="F315" s="65">
        <v>0</v>
      </c>
      <c r="G315" s="65">
        <v>0</v>
      </c>
      <c r="H315" s="53"/>
      <c r="I315" s="53"/>
      <c r="J315" s="57"/>
      <c r="K315" s="58"/>
      <c r="L315" s="58"/>
      <c r="IJ315" s="55"/>
      <c r="IK315" s="55"/>
      <c r="IL315" s="55"/>
      <c r="IM315" s="55"/>
      <c r="IN315" s="55"/>
    </row>
    <row r="316" spans="1:248" s="54" customFormat="1" ht="30" customHeight="1" hidden="1">
      <c r="A316" s="35" t="s">
        <v>21</v>
      </c>
      <c r="B316" s="41"/>
      <c r="C316" s="67">
        <f t="shared" si="9"/>
        <v>136</v>
      </c>
      <c r="D316" s="65">
        <f>J307*0.02</f>
        <v>0</v>
      </c>
      <c r="E316" s="65">
        <f>K307*0.02</f>
        <v>68</v>
      </c>
      <c r="F316" s="65">
        <f>L307*0.02</f>
        <v>68</v>
      </c>
      <c r="G316" s="65">
        <f>M307*0.02</f>
        <v>0</v>
      </c>
      <c r="H316" s="57"/>
      <c r="I316" s="94"/>
      <c r="J316" s="57"/>
      <c r="K316" s="57"/>
      <c r="L316" s="57"/>
      <c r="M316" s="68"/>
      <c r="IJ316" s="55"/>
      <c r="IK316" s="55"/>
      <c r="IL316" s="55"/>
      <c r="IM316" s="55"/>
      <c r="IN316" s="55"/>
    </row>
    <row r="317" spans="1:248" s="54" customFormat="1" ht="33" customHeight="1">
      <c r="A317" s="86" t="s">
        <v>73</v>
      </c>
      <c r="B317" s="47" t="s">
        <v>80</v>
      </c>
      <c r="C317" s="23">
        <f t="shared" si="9"/>
        <v>3995</v>
      </c>
      <c r="D317" s="23">
        <f>D318+D319+D320</f>
        <v>0</v>
      </c>
      <c r="E317" s="23">
        <f>E318+E319+E320</f>
        <v>0</v>
      </c>
      <c r="F317" s="23">
        <f>F318+F319+F320</f>
        <v>0</v>
      </c>
      <c r="G317" s="23">
        <f>G318+G319+G320</f>
        <v>3995</v>
      </c>
      <c r="H317" s="57"/>
      <c r="I317" s="70">
        <f>I318+I320</f>
        <v>3995</v>
      </c>
      <c r="J317" s="70">
        <f>J318+J320</f>
        <v>0</v>
      </c>
      <c r="K317" s="70">
        <f>K318+K320</f>
        <v>0</v>
      </c>
      <c r="L317" s="70">
        <f>L318+L320</f>
        <v>0</v>
      </c>
      <c r="M317" s="70">
        <f>M318+M320</f>
        <v>3995</v>
      </c>
      <c r="IJ317" s="55"/>
      <c r="IK317" s="55"/>
      <c r="IL317" s="55"/>
      <c r="IM317" s="55"/>
      <c r="IN317" s="55"/>
    </row>
    <row r="318" spans="1:248" s="54" customFormat="1" ht="16.5" customHeight="1">
      <c r="A318" s="26" t="s">
        <v>15</v>
      </c>
      <c r="B318" s="41"/>
      <c r="C318" s="56">
        <f t="shared" si="9"/>
        <v>545.1</v>
      </c>
      <c r="D318" s="56">
        <f>J318*0.15</f>
        <v>0</v>
      </c>
      <c r="E318" s="56">
        <f>K318*0.15</f>
        <v>0</v>
      </c>
      <c r="F318" s="65">
        <f>L318*0.15</f>
        <v>0</v>
      </c>
      <c r="G318" s="56">
        <f>M318*0.15</f>
        <v>545.1</v>
      </c>
      <c r="H318" s="53"/>
      <c r="I318" s="127">
        <f>J318+K318+L318+M318</f>
        <v>3634</v>
      </c>
      <c r="J318" s="127">
        <v>0</v>
      </c>
      <c r="K318" s="127">
        <v>0</v>
      </c>
      <c r="L318" s="127">
        <v>0</v>
      </c>
      <c r="M318" s="128">
        <f>1738+1896</f>
        <v>3634</v>
      </c>
      <c r="IJ318" s="55"/>
      <c r="IK318" s="55"/>
      <c r="IL318" s="55"/>
      <c r="IM318" s="55"/>
      <c r="IN318" s="55"/>
    </row>
    <row r="319" spans="1:248" s="54" customFormat="1" ht="16.5" customHeight="1">
      <c r="A319" s="30" t="s">
        <v>16</v>
      </c>
      <c r="B319" s="41"/>
      <c r="C319" s="56">
        <f t="shared" si="9"/>
        <v>3088.9</v>
      </c>
      <c r="D319" s="56">
        <f>J318*0.85</f>
        <v>0</v>
      </c>
      <c r="E319" s="65">
        <f>K318*0.85</f>
        <v>0</v>
      </c>
      <c r="F319" s="65">
        <f>L318*0.85</f>
        <v>0</v>
      </c>
      <c r="G319" s="56">
        <f>M318*0.85</f>
        <v>3088.9</v>
      </c>
      <c r="H319" s="53"/>
      <c r="I319" s="127"/>
      <c r="J319" s="127"/>
      <c r="K319" s="127"/>
      <c r="L319" s="127"/>
      <c r="M319" s="128"/>
      <c r="IJ319" s="55"/>
      <c r="IK319" s="55"/>
      <c r="IL319" s="55"/>
      <c r="IM319" s="55"/>
      <c r="IN319" s="55"/>
    </row>
    <row r="320" spans="1:248" s="54" customFormat="1" ht="16.5" customHeight="1">
      <c r="A320" s="30" t="s">
        <v>17</v>
      </c>
      <c r="B320" s="41"/>
      <c r="C320" s="56">
        <f t="shared" si="9"/>
        <v>361</v>
      </c>
      <c r="D320" s="56">
        <f>J320</f>
        <v>0</v>
      </c>
      <c r="E320" s="56">
        <f>K320</f>
        <v>0</v>
      </c>
      <c r="F320" s="56">
        <f>L320</f>
        <v>0</v>
      </c>
      <c r="G320" s="56">
        <f>M320</f>
        <v>361</v>
      </c>
      <c r="H320" s="53"/>
      <c r="I320" s="70">
        <f>J320+K320+L320+M320</f>
        <v>361</v>
      </c>
      <c r="J320" s="70">
        <v>0</v>
      </c>
      <c r="K320" s="70">
        <v>0</v>
      </c>
      <c r="L320" s="70">
        <v>0</v>
      </c>
      <c r="M320" s="71">
        <v>361</v>
      </c>
      <c r="IJ320" s="55"/>
      <c r="IK320" s="55"/>
      <c r="IL320" s="55"/>
      <c r="IM320" s="55"/>
      <c r="IN320" s="55"/>
    </row>
    <row r="321" spans="1:248" s="54" customFormat="1" ht="16.5" customHeight="1" hidden="1">
      <c r="A321" s="30"/>
      <c r="B321" s="41"/>
      <c r="C321" s="56"/>
      <c r="D321" s="56"/>
      <c r="E321" s="56"/>
      <c r="F321" s="56"/>
      <c r="G321" s="56"/>
      <c r="H321" s="53"/>
      <c r="I321" s="70"/>
      <c r="J321" s="72"/>
      <c r="K321" s="73"/>
      <c r="L321" s="72"/>
      <c r="M321" s="71"/>
      <c r="IJ321" s="55"/>
      <c r="IK321" s="55"/>
      <c r="IL321" s="55"/>
      <c r="IM321" s="55"/>
      <c r="IN321" s="55"/>
    </row>
    <row r="322" spans="1:248" s="54" customFormat="1" ht="16.5" customHeight="1" hidden="1">
      <c r="A322" s="30"/>
      <c r="B322" s="41"/>
      <c r="C322" s="59">
        <f>C323+C324+C325+C327+C326</f>
        <v>3995</v>
      </c>
      <c r="D322" s="59">
        <f>D323+D324+D325+D327+D326</f>
        <v>0</v>
      </c>
      <c r="E322" s="59">
        <f>E323+E324+E325+E327+E326</f>
        <v>0</v>
      </c>
      <c r="F322" s="59">
        <f>F323+F324+F325+F327+F326</f>
        <v>0</v>
      </c>
      <c r="G322" s="59">
        <f>G323+G324+G325+G327+G326</f>
        <v>3995</v>
      </c>
      <c r="H322" s="60"/>
      <c r="I322" s="75"/>
      <c r="J322" s="76"/>
      <c r="K322" s="77"/>
      <c r="L322" s="77"/>
      <c r="M322" s="78"/>
      <c r="IJ322" s="55"/>
      <c r="IK322" s="55"/>
      <c r="IL322" s="55"/>
      <c r="IM322" s="55"/>
      <c r="IN322" s="55"/>
    </row>
    <row r="323" spans="1:248" s="54" customFormat="1" ht="16.5" customHeight="1" hidden="1">
      <c r="A323" s="30" t="s">
        <v>18</v>
      </c>
      <c r="B323" s="41"/>
      <c r="C323" s="65">
        <f aca="true" t="shared" si="10" ref="C323:C331">D323+E323+F323+G323</f>
        <v>833.4200000000001</v>
      </c>
      <c r="D323" s="65">
        <f>J318*0.13</f>
        <v>0</v>
      </c>
      <c r="E323" s="65">
        <f>K318*0.13+K320</f>
        <v>0</v>
      </c>
      <c r="F323" s="65">
        <f>L318*0.13+L320</f>
        <v>0</v>
      </c>
      <c r="G323" s="65">
        <f>M318*0.13+M320</f>
        <v>833.4200000000001</v>
      </c>
      <c r="H323" s="53"/>
      <c r="I323" s="53"/>
      <c r="J323" s="57"/>
      <c r="K323" s="58"/>
      <c r="L323" s="58"/>
      <c r="IJ323" s="55"/>
      <c r="IK323" s="55"/>
      <c r="IL323" s="55"/>
      <c r="IM323" s="55"/>
      <c r="IN323" s="55"/>
    </row>
    <row r="324" spans="1:248" s="54" customFormat="1" ht="16.5" customHeight="1" hidden="1">
      <c r="A324" s="30" t="s">
        <v>19</v>
      </c>
      <c r="B324" s="41"/>
      <c r="C324" s="65">
        <f t="shared" si="10"/>
        <v>3088.9</v>
      </c>
      <c r="D324" s="65">
        <f>J318*0.85</f>
        <v>0</v>
      </c>
      <c r="E324" s="65">
        <f>K318*0.85</f>
        <v>0</v>
      </c>
      <c r="F324" s="65">
        <f>L318*0.85</f>
        <v>0</v>
      </c>
      <c r="G324" s="65">
        <f>M318*0.85</f>
        <v>3088.9</v>
      </c>
      <c r="H324" s="53"/>
      <c r="I324" s="53"/>
      <c r="J324" s="57"/>
      <c r="K324" s="58"/>
      <c r="L324" s="58"/>
      <c r="IJ324" s="55"/>
      <c r="IK324" s="55"/>
      <c r="IL324" s="55"/>
      <c r="IM324" s="55"/>
      <c r="IN324" s="55"/>
    </row>
    <row r="325" spans="1:248" s="54" customFormat="1" ht="16.5" customHeight="1" hidden="1">
      <c r="A325" s="30" t="s">
        <v>20</v>
      </c>
      <c r="B325" s="41"/>
      <c r="C325" s="65">
        <f t="shared" si="10"/>
        <v>0</v>
      </c>
      <c r="D325" s="65">
        <v>0</v>
      </c>
      <c r="E325" s="65">
        <v>0</v>
      </c>
      <c r="F325" s="65">
        <v>0</v>
      </c>
      <c r="G325" s="65">
        <v>0</v>
      </c>
      <c r="H325" s="53"/>
      <c r="I325" s="53"/>
      <c r="J325" s="57"/>
      <c r="K325" s="58"/>
      <c r="L325" s="58"/>
      <c r="IJ325" s="55"/>
      <c r="IK325" s="55"/>
      <c r="IL325" s="55"/>
      <c r="IM325" s="55"/>
      <c r="IN325" s="55"/>
    </row>
    <row r="326" spans="1:248" s="54" customFormat="1" ht="16.5" customHeight="1" hidden="1">
      <c r="A326" s="30" t="s">
        <v>30</v>
      </c>
      <c r="B326" s="41"/>
      <c r="C326" s="65">
        <f t="shared" si="10"/>
        <v>0</v>
      </c>
      <c r="D326" s="65">
        <v>0</v>
      </c>
      <c r="E326" s="65">
        <v>0</v>
      </c>
      <c r="F326" s="65">
        <v>0</v>
      </c>
      <c r="G326" s="65">
        <v>0</v>
      </c>
      <c r="H326" s="53"/>
      <c r="I326" s="53"/>
      <c r="J326" s="57"/>
      <c r="K326" s="58"/>
      <c r="L326" s="58"/>
      <c r="IJ326" s="55"/>
      <c r="IK326" s="55"/>
      <c r="IL326" s="55"/>
      <c r="IM326" s="55"/>
      <c r="IN326" s="55"/>
    </row>
    <row r="327" spans="1:248" s="54" customFormat="1" ht="14.25" hidden="1">
      <c r="A327" s="35" t="s">
        <v>21</v>
      </c>
      <c r="B327" s="41"/>
      <c r="C327" s="67">
        <f t="shared" si="10"/>
        <v>72.68</v>
      </c>
      <c r="D327" s="65">
        <f>J318*0.02</f>
        <v>0</v>
      </c>
      <c r="E327" s="65">
        <f>K318*0.02</f>
        <v>0</v>
      </c>
      <c r="F327" s="65">
        <f>L318*0.02</f>
        <v>0</v>
      </c>
      <c r="G327" s="65">
        <f>M318*0.02</f>
        <v>72.68</v>
      </c>
      <c r="H327" s="57"/>
      <c r="I327" s="57"/>
      <c r="J327" s="57">
        <v>2021</v>
      </c>
      <c r="K327" s="95"/>
      <c r="L327" s="57"/>
      <c r="M327" s="68"/>
      <c r="IJ327" s="55"/>
      <c r="IK327" s="55"/>
      <c r="IL327" s="55"/>
      <c r="IM327" s="55"/>
      <c r="IN327" s="55"/>
    </row>
    <row r="328" spans="1:248" s="54" customFormat="1" ht="91.5" customHeight="1">
      <c r="A328" s="86" t="s">
        <v>81</v>
      </c>
      <c r="B328" s="83" t="s">
        <v>82</v>
      </c>
      <c r="C328" s="23">
        <f t="shared" si="10"/>
        <v>1232</v>
      </c>
      <c r="D328" s="23">
        <f>D329+D330+D331</f>
        <v>0</v>
      </c>
      <c r="E328" s="23">
        <f>E329+E330+E331</f>
        <v>0</v>
      </c>
      <c r="F328" s="23">
        <f>F329+F330+F331</f>
        <v>0</v>
      </c>
      <c r="G328" s="23">
        <f>G329+G330+G331</f>
        <v>1232</v>
      </c>
      <c r="H328" s="57"/>
      <c r="I328" s="57"/>
      <c r="J328" s="57">
        <v>1232</v>
      </c>
      <c r="K328" s="57"/>
      <c r="L328" s="57"/>
      <c r="M328" s="68"/>
      <c r="IJ328" s="55"/>
      <c r="IK328" s="55"/>
      <c r="IL328" s="55"/>
      <c r="IM328" s="55"/>
      <c r="IN328" s="55"/>
    </row>
    <row r="329" spans="1:248" s="54" customFormat="1" ht="16.5" customHeight="1">
      <c r="A329" s="26" t="s">
        <v>15</v>
      </c>
      <c r="B329" s="41"/>
      <c r="C329" s="56">
        <f t="shared" si="10"/>
        <v>184.79999999999998</v>
      </c>
      <c r="D329" s="56">
        <f>J329*0.15</f>
        <v>0</v>
      </c>
      <c r="E329" s="56">
        <v>0</v>
      </c>
      <c r="F329" s="56">
        <v>0</v>
      </c>
      <c r="G329" s="56">
        <f>J328*0.15</f>
        <v>184.79999999999998</v>
      </c>
      <c r="H329" s="53"/>
      <c r="I329" s="127"/>
      <c r="J329" s="127"/>
      <c r="K329" s="127"/>
      <c r="L329" s="128"/>
      <c r="M329" s="128"/>
      <c r="IJ329" s="55"/>
      <c r="IK329" s="55"/>
      <c r="IL329" s="55"/>
      <c r="IM329" s="55"/>
      <c r="IN329" s="55"/>
    </row>
    <row r="330" spans="1:248" s="54" customFormat="1" ht="16.5" customHeight="1">
      <c r="A330" s="30" t="s">
        <v>16</v>
      </c>
      <c r="B330" s="41"/>
      <c r="C330" s="56">
        <f t="shared" si="10"/>
        <v>1047.2</v>
      </c>
      <c r="D330" s="56">
        <f>J329*0.85</f>
        <v>0</v>
      </c>
      <c r="E330" s="56">
        <v>0</v>
      </c>
      <c r="F330" s="56">
        <v>0</v>
      </c>
      <c r="G330" s="56">
        <f>J328*0.85</f>
        <v>1047.2</v>
      </c>
      <c r="H330" s="53"/>
      <c r="I330" s="127"/>
      <c r="J330" s="127"/>
      <c r="K330" s="127"/>
      <c r="L330" s="127"/>
      <c r="M330" s="128"/>
      <c r="IJ330" s="55"/>
      <c r="IK330" s="55"/>
      <c r="IL330" s="55"/>
      <c r="IM330" s="55"/>
      <c r="IN330" s="55"/>
    </row>
    <row r="331" spans="1:248" s="54" customFormat="1" ht="16.5" customHeight="1">
      <c r="A331" s="30" t="s">
        <v>17</v>
      </c>
      <c r="B331" s="41"/>
      <c r="C331" s="56">
        <f t="shared" si="10"/>
        <v>0</v>
      </c>
      <c r="D331" s="56">
        <v>0</v>
      </c>
      <c r="E331" s="56">
        <f>K331</f>
        <v>0</v>
      </c>
      <c r="F331" s="56">
        <v>0</v>
      </c>
      <c r="G331" s="56">
        <v>0</v>
      </c>
      <c r="H331" s="53"/>
      <c r="I331" s="70"/>
      <c r="J331" s="70"/>
      <c r="K331" s="70"/>
      <c r="L331" s="70"/>
      <c r="M331" s="71"/>
      <c r="IJ331" s="55"/>
      <c r="IK331" s="55"/>
      <c r="IL331" s="55"/>
      <c r="IM331" s="55"/>
      <c r="IN331" s="55"/>
    </row>
    <row r="332" spans="1:248" s="54" customFormat="1" ht="16.5" customHeight="1" hidden="1">
      <c r="A332" s="30"/>
      <c r="B332" s="41"/>
      <c r="C332" s="56"/>
      <c r="D332" s="56"/>
      <c r="E332" s="56"/>
      <c r="F332" s="56"/>
      <c r="G332" s="56"/>
      <c r="H332" s="53"/>
      <c r="I332" s="70"/>
      <c r="J332" s="72"/>
      <c r="K332" s="73"/>
      <c r="L332" s="72"/>
      <c r="M332" s="71"/>
      <c r="IJ332" s="55"/>
      <c r="IK332" s="55"/>
      <c r="IL332" s="55"/>
      <c r="IM332" s="55"/>
      <c r="IN332" s="55"/>
    </row>
    <row r="333" spans="1:248" s="54" customFormat="1" ht="16.5" customHeight="1" hidden="1">
      <c r="A333" s="30"/>
      <c r="B333" s="41"/>
      <c r="C333" s="59">
        <f>C334+C335+C336+C338+C337</f>
        <v>1232.0000000000002</v>
      </c>
      <c r="D333" s="59">
        <f>D334+D335+D336+D338+D337</f>
        <v>0</v>
      </c>
      <c r="E333" s="59">
        <f>E334+E335+E336+E338+E337</f>
        <v>0</v>
      </c>
      <c r="F333" s="59">
        <f>F334+F335+F336+F338+F337</f>
        <v>0</v>
      </c>
      <c r="G333" s="59">
        <f>G334+G335+G336+G338+G337</f>
        <v>1232.0000000000002</v>
      </c>
      <c r="H333" s="60"/>
      <c r="I333" s="75"/>
      <c r="J333" s="76"/>
      <c r="K333" s="77"/>
      <c r="L333" s="77"/>
      <c r="M333" s="78"/>
      <c r="IJ333" s="55"/>
      <c r="IK333" s="55"/>
      <c r="IL333" s="55"/>
      <c r="IM333" s="55"/>
      <c r="IN333" s="55"/>
    </row>
    <row r="334" spans="1:248" s="54" customFormat="1" ht="16.5" customHeight="1" hidden="1">
      <c r="A334" s="30" t="s">
        <v>18</v>
      </c>
      <c r="B334" s="41"/>
      <c r="C334" s="65">
        <f>D334+E334+F334+G334</f>
        <v>160.16</v>
      </c>
      <c r="D334" s="65">
        <f>J329*0.13</f>
        <v>0</v>
      </c>
      <c r="E334" s="65">
        <v>0</v>
      </c>
      <c r="F334" s="65">
        <v>0</v>
      </c>
      <c r="G334" s="65">
        <f>J328*0.13</f>
        <v>160.16</v>
      </c>
      <c r="H334" s="53"/>
      <c r="I334" s="53"/>
      <c r="J334" s="57"/>
      <c r="K334" s="58"/>
      <c r="L334" s="58"/>
      <c r="IJ334" s="55"/>
      <c r="IK334" s="55"/>
      <c r="IL334" s="55"/>
      <c r="IM334" s="55"/>
      <c r="IN334" s="55"/>
    </row>
    <row r="335" spans="1:248" s="54" customFormat="1" ht="16.5" customHeight="1" hidden="1">
      <c r="A335" s="30" t="s">
        <v>19</v>
      </c>
      <c r="B335" s="41"/>
      <c r="C335" s="65">
        <f>D335+E335+F335+G335</f>
        <v>1047.2</v>
      </c>
      <c r="D335" s="65">
        <f>J329*0.85</f>
        <v>0</v>
      </c>
      <c r="E335" s="65">
        <v>0</v>
      </c>
      <c r="F335" s="65">
        <v>0</v>
      </c>
      <c r="G335" s="65">
        <f>J328*0.85</f>
        <v>1047.2</v>
      </c>
      <c r="H335" s="53"/>
      <c r="I335" s="53"/>
      <c r="J335" s="57"/>
      <c r="K335" s="58"/>
      <c r="L335" s="58"/>
      <c r="IJ335" s="55"/>
      <c r="IK335" s="55"/>
      <c r="IL335" s="55"/>
      <c r="IM335" s="55"/>
      <c r="IN335" s="55"/>
    </row>
    <row r="336" spans="1:248" s="54" customFormat="1" ht="16.5" customHeight="1" hidden="1">
      <c r="A336" s="30" t="s">
        <v>20</v>
      </c>
      <c r="B336" s="41"/>
      <c r="C336" s="65">
        <f>D336+E336+F336+G336</f>
        <v>0</v>
      </c>
      <c r="D336" s="65"/>
      <c r="E336" s="65"/>
      <c r="F336" s="65">
        <v>0</v>
      </c>
      <c r="G336" s="65"/>
      <c r="H336" s="53"/>
      <c r="I336" s="53"/>
      <c r="J336" s="57"/>
      <c r="K336" s="58"/>
      <c r="L336" s="58"/>
      <c r="IJ336" s="55"/>
      <c r="IK336" s="55"/>
      <c r="IL336" s="55"/>
      <c r="IM336" s="55"/>
      <c r="IN336" s="55"/>
    </row>
    <row r="337" spans="1:248" s="54" customFormat="1" ht="16.5" customHeight="1" hidden="1">
      <c r="A337" s="30" t="s">
        <v>30</v>
      </c>
      <c r="B337" s="41"/>
      <c r="C337" s="65">
        <f>D337+E337+F337+G337</f>
        <v>0</v>
      </c>
      <c r="D337" s="65"/>
      <c r="E337" s="65"/>
      <c r="F337" s="65">
        <v>0</v>
      </c>
      <c r="G337" s="65">
        <v>0</v>
      </c>
      <c r="H337" s="53"/>
      <c r="I337" s="53"/>
      <c r="J337" s="57"/>
      <c r="K337" s="58"/>
      <c r="L337" s="58"/>
      <c r="IJ337" s="55"/>
      <c r="IK337" s="55"/>
      <c r="IL337" s="55"/>
      <c r="IM337" s="55"/>
      <c r="IN337" s="55"/>
    </row>
    <row r="338" spans="1:248" s="54" customFormat="1" ht="14.25" hidden="1">
      <c r="A338" s="35" t="s">
        <v>21</v>
      </c>
      <c r="B338" s="41"/>
      <c r="C338" s="67">
        <f>D338+E338+F338+G338</f>
        <v>24.64</v>
      </c>
      <c r="D338" s="65">
        <f>J329*0.02</f>
        <v>0</v>
      </c>
      <c r="E338" s="65">
        <v>0</v>
      </c>
      <c r="F338" s="65">
        <v>0</v>
      </c>
      <c r="G338" s="65">
        <f>J328*2/100</f>
        <v>24.64</v>
      </c>
      <c r="H338" s="57"/>
      <c r="I338" s="57"/>
      <c r="J338" s="57"/>
      <c r="K338" s="57"/>
      <c r="L338" s="57"/>
      <c r="M338" s="68"/>
      <c r="IJ338" s="55"/>
      <c r="IK338" s="55"/>
      <c r="IL338" s="55"/>
      <c r="IM338" s="55"/>
      <c r="IN338" s="55"/>
    </row>
    <row r="339" spans="1:248" s="63" customFormat="1" ht="16.5" customHeight="1">
      <c r="A339" s="130" t="s">
        <v>83</v>
      </c>
      <c r="B339" s="130"/>
      <c r="C339" s="43">
        <f>C262+C273+C284+C295+C306+C317+C328</f>
        <v>149941</v>
      </c>
      <c r="D339" s="43">
        <f>D262+D273+D284+D295+D306+D317+D328</f>
        <v>55835</v>
      </c>
      <c r="E339" s="43">
        <f>E262+E273+E284+E295+E306+E317+E328</f>
        <v>14885</v>
      </c>
      <c r="F339" s="43">
        <f>F262+F273+F284+F295+F306+F317+F328</f>
        <v>33771</v>
      </c>
      <c r="G339" s="43">
        <f>G262+G273+G284+G295+G306+G317+G328</f>
        <v>45450</v>
      </c>
      <c r="H339" s="60"/>
      <c r="I339" s="60"/>
      <c r="J339" s="61"/>
      <c r="K339" s="62"/>
      <c r="L339" s="62"/>
      <c r="IJ339" s="64"/>
      <c r="IK339" s="64"/>
      <c r="IL339" s="64"/>
      <c r="IM339" s="64"/>
      <c r="IN339" s="64"/>
    </row>
    <row r="340" spans="1:245" ht="16.5" customHeight="1">
      <c r="A340" s="96"/>
      <c r="B340" s="15" t="s">
        <v>84</v>
      </c>
      <c r="C340" s="25">
        <f>C133+C155+C188+C242+C260+C339</f>
        <v>300177</v>
      </c>
      <c r="D340" s="25">
        <f>D133+D155+D188+D242+D260+D339</f>
        <v>59395</v>
      </c>
      <c r="E340" s="25">
        <f>E133+E155+E188+E242+E260+E339</f>
        <v>33101</v>
      </c>
      <c r="F340" s="25">
        <f>F133+F155+F188+F242+F260+F339</f>
        <v>104275</v>
      </c>
      <c r="G340" s="25">
        <f>G133+G155+G188+G242+G260+G339</f>
        <v>103406</v>
      </c>
      <c r="H340" s="97"/>
      <c r="I340" s="97"/>
      <c r="IJ340" s="1"/>
      <c r="IK340" s="1"/>
    </row>
    <row r="341" spans="1:248" s="53" customFormat="1" ht="16.5" customHeight="1">
      <c r="A341" s="98"/>
      <c r="B341" s="99"/>
      <c r="C341" s="100"/>
      <c r="D341" s="101"/>
      <c r="E341" s="101"/>
      <c r="F341" s="56"/>
      <c r="G341" s="91"/>
      <c r="J341" s="102"/>
      <c r="K341" s="1"/>
      <c r="L341" s="1"/>
      <c r="IJ341" s="3"/>
      <c r="IK341" s="3"/>
      <c r="IL341" s="3"/>
      <c r="IM341" s="3"/>
      <c r="IN341" s="3"/>
    </row>
    <row r="342" spans="1:248" s="53" customFormat="1" ht="46.5" customHeight="1">
      <c r="A342" s="103"/>
      <c r="B342" s="104" t="s">
        <v>85</v>
      </c>
      <c r="C342" s="105">
        <f>C323+C312+C301+C290+C279+C268+C256+C245+C238+C228+C218+C207+C196+C184+C174+C151+C141+C129+C119+C109+C98+C87+C77+C67+C57+C47+C37+C27+C17+C334</f>
        <v>47067.44</v>
      </c>
      <c r="D342" s="105">
        <f>D323+D312+D301+D290+D279+D268+D256+D245+D238+D228+D218+D207+D196+D184+D174+D151+D141+D129+D119+D109+D98+D87+D77+D67+D57+D47+D37+D27+D17+D334</f>
        <v>15503.4</v>
      </c>
      <c r="E342" s="105">
        <f>E323+E312+E301+E290+E279+E268+E256+E245+E238+E228+E218+E207+E196+E184+E174+E151+E141+E129+E119+E109+E98+E87+E77+E67+E57+E47+E37+E27+E17+E334+0.3</f>
        <v>4344.25</v>
      </c>
      <c r="F342" s="105">
        <f>F323+F312+F301+F290+F279+F268+F256+F245+F238+F228+F218+F207+F196+F184+F174+F151+F141+F129+F119+F109+F98+F87+F77+F67+F57+F47+F37+F27+F17+F334</f>
        <v>13605.27</v>
      </c>
      <c r="G342" s="105">
        <f>G323+G312+G301+G290+G279+G268+G256+G245+G238+G228+G218+G207+G196+G184+G174+G151+G141+G129+G119+G109+G98+G87+G77+G67+G57+G47+G37+G27+G17+G334</f>
        <v>13614.82</v>
      </c>
      <c r="H342" s="106"/>
      <c r="I342" s="106"/>
      <c r="J342" s="72"/>
      <c r="IJ342" s="3"/>
      <c r="IK342" s="3"/>
      <c r="IL342" s="3"/>
      <c r="IM342" s="3"/>
      <c r="IN342" s="3"/>
    </row>
    <row r="343" spans="1:248" s="53" customFormat="1" ht="15.75" customHeight="1">
      <c r="A343" s="103"/>
      <c r="B343" s="104" t="s">
        <v>86</v>
      </c>
      <c r="C343" s="105">
        <f>C324+C313+C302+C291+C280+C269+C246+C239+C229+C219+C208+C197+C185+C175+C152+C142+C120+C110+C99+C88+C78+C68+C58+C48+C38+C28+C18+C130+C335</f>
        <v>230321.15000000002</v>
      </c>
      <c r="D343" s="105">
        <f>D324+D313+D302+D291+D280+D269+E246+D239+D229+D219+D208+D197+D185+D175+D152+D142+D120+D110+D99+D88+D78+D68+D58+D48+D38+D28+D18+D130+D335+0.5</f>
        <v>42766.5</v>
      </c>
      <c r="E343" s="105">
        <f>E324+E313+E302+E291+E280+E269+E239+E229+E219+E208+E197+E185+E175+E152+E142+E120+E110+E99+E88+E78+E68+E58+E48+E38+E28+E18+E130+E335</f>
        <v>26256.25</v>
      </c>
      <c r="F343" s="105">
        <f>F324+F313+F302+F291+F280+F269+F246+F239+F229+F219+F208+F197+F185+F175+F152+F142+F120+F110+F99+F88+F78+F68+F58+F48+F38+F28+F18+F130+F335</f>
        <v>80493.9</v>
      </c>
      <c r="G343" s="105">
        <f>G324+G313+G302+G291+G280+G269+G246+G239+G229+G219+G208+G197+G185+G175+G152+G142+G120+G110+G99+G88+G78+G68+G58+G48+G38+G28+G18+G130+G335-0.5</f>
        <v>80804.4</v>
      </c>
      <c r="J343" s="107"/>
      <c r="K343" s="78"/>
      <c r="L343" s="58"/>
      <c r="N343" s="63"/>
      <c r="O343" s="63"/>
      <c r="IJ343" s="3"/>
      <c r="IK343" s="3"/>
      <c r="IL343" s="3"/>
      <c r="IM343" s="3"/>
      <c r="IN343" s="3"/>
    </row>
    <row r="344" spans="1:248" s="53" customFormat="1" ht="16.5" customHeight="1">
      <c r="A344" s="103"/>
      <c r="B344" s="104" t="s">
        <v>87</v>
      </c>
      <c r="C344" s="105">
        <f>C325+C314+C303+C292+C281+C270+C240+C230+C220+C209+C198+C186+C176+C153+C143+C121+C111+C100+C89+C79+C69+C59+C49+C39+C29+C19+0.05</f>
        <v>4139.5</v>
      </c>
      <c r="D344" s="105">
        <f>D325+D314+D303+D292+D281+D270+D240+D230+D220+D209+D198+D186+D176+D153+D143+D121+D111+D100+D89+D79+D69+D59+D49+D39+D29+D19</f>
        <v>103</v>
      </c>
      <c r="E344" s="105">
        <f>E325+E314+E303+E292+E281+E270+E240+E230+E220+E209+E198+E186+E176+E153+E143+E121+E111+E100+E89+E79+E69+E59+E49+E39+E29+E19</f>
        <v>915.5</v>
      </c>
      <c r="F344" s="105">
        <f>F325+F314+F303+F292+F281+F270+F240+F230+F220+F209+F198+F186+F176+F153+F143+F121+F111+F100+F89+F79+F69+F59+F49+F39+F29+F19</f>
        <v>2678.95</v>
      </c>
      <c r="G344" s="105">
        <f>G325+G314+G303+G292+G281+G270+G240+G230+G220+G209+G198+G186+G176+G153+G143+G121+G111+G100+G89+G79+G69+G59+G49+G39+G29+G19</f>
        <v>442</v>
      </c>
      <c r="J344" s="107"/>
      <c r="K344" s="78"/>
      <c r="L344" s="58"/>
      <c r="N344" s="63"/>
      <c r="O344" s="63"/>
      <c r="IJ344" s="3"/>
      <c r="IK344" s="3"/>
      <c r="IL344" s="3"/>
      <c r="IM344" s="3"/>
      <c r="IN344" s="3"/>
    </row>
    <row r="345" spans="1:248" s="53" customFormat="1" ht="16.5" customHeight="1">
      <c r="A345" s="103"/>
      <c r="B345" s="104" t="s">
        <v>88</v>
      </c>
      <c r="C345" s="105">
        <f>C247</f>
        <v>1447</v>
      </c>
      <c r="D345" s="105">
        <f>D247</f>
        <v>0</v>
      </c>
      <c r="E345" s="105">
        <f>E247</f>
        <v>1447</v>
      </c>
      <c r="F345" s="105">
        <f>F247</f>
        <v>0</v>
      </c>
      <c r="G345" s="105">
        <f>G247</f>
        <v>0</v>
      </c>
      <c r="J345" s="107"/>
      <c r="K345" s="78"/>
      <c r="L345" s="58"/>
      <c r="N345" s="63"/>
      <c r="O345" s="63"/>
      <c r="IJ345" s="3"/>
      <c r="IK345" s="3"/>
      <c r="IL345" s="3"/>
      <c r="IM345" s="3"/>
      <c r="IN345" s="3"/>
    </row>
    <row r="346" spans="1:248" s="53" customFormat="1" ht="14.25" customHeight="1">
      <c r="A346" s="103"/>
      <c r="B346" s="104" t="s">
        <v>89</v>
      </c>
      <c r="C346" s="105">
        <f>C257</f>
        <v>49</v>
      </c>
      <c r="D346" s="105">
        <f>D257</f>
        <v>0</v>
      </c>
      <c r="E346" s="105">
        <f>E257</f>
        <v>30</v>
      </c>
      <c r="F346" s="105">
        <f>F257</f>
        <v>19</v>
      </c>
      <c r="G346" s="105">
        <f>G257</f>
        <v>0</v>
      </c>
      <c r="J346" s="107"/>
      <c r="K346" s="78"/>
      <c r="L346" s="58"/>
      <c r="N346" s="63"/>
      <c r="O346" s="63"/>
      <c r="IJ346" s="3"/>
      <c r="IK346" s="3"/>
      <c r="IL346" s="3"/>
      <c r="IM346" s="3"/>
      <c r="IN346" s="3"/>
    </row>
    <row r="347" spans="1:248" s="53" customFormat="1" ht="15" customHeight="1">
      <c r="A347" s="103"/>
      <c r="B347" s="104" t="s">
        <v>90</v>
      </c>
      <c r="C347" s="105">
        <f>C90+C101+C271+C282+C293+C304+C315</f>
        <v>0</v>
      </c>
      <c r="D347" s="105">
        <f>D90+D101+D271+D282+D293+D304+D315</f>
        <v>0</v>
      </c>
      <c r="E347" s="105">
        <f>E90+E101+E271+E282+E293+E304+E315</f>
        <v>0</v>
      </c>
      <c r="F347" s="105">
        <f>F90+F101+F271+F282+F293+F304+F315</f>
        <v>0</v>
      </c>
      <c r="G347" s="105">
        <f>G90+G101+G271+G282+G293+G304+G315</f>
        <v>0</v>
      </c>
      <c r="J347" s="107"/>
      <c r="K347" s="78"/>
      <c r="L347" s="58"/>
      <c r="N347" s="63"/>
      <c r="O347" s="63"/>
      <c r="IJ347" s="3"/>
      <c r="IK347" s="3"/>
      <c r="IL347" s="3"/>
      <c r="IM347" s="3"/>
      <c r="IN347" s="3"/>
    </row>
    <row r="348" spans="1:248" s="53" customFormat="1" ht="15" customHeight="1">
      <c r="A348" s="103"/>
      <c r="B348" s="108" t="s">
        <v>21</v>
      </c>
      <c r="C348" s="105">
        <f>C327+C316+C305+C294+C283+C272+C259+C248+C241+C231+C221+C210+C199+C187+C177+C154+C144+C122+C112+C102+C91+C80+C70+C60+C50+C40+C30+C20+C132+C338+C167-C244</f>
        <v>17152.96</v>
      </c>
      <c r="D348" s="105">
        <f>D327+D316+D305+D294+D283+D272+D259+D248+D241+D231+D221+D210+D199+D187+D177+D154+D144+D122+D112+D102+D91+D80+D70+D60+D50+D40+D30+D20+D132+D338+D167-D244</f>
        <v>1022.1</v>
      </c>
      <c r="E348" s="105">
        <f>E327+E316+E305+E294+E283+E272+E259+E248+E241+E231+E221+E210+E199+E187+E177+E154+E144+E122+E112+E102+E91+E80+E70+E60+E50+E40+E30+E20+E132+E338+E167-E244</f>
        <v>108.29999999999995</v>
      </c>
      <c r="F348" s="105">
        <f>F327+F316+F305+F294+F283+F272+F259+F248+F241+F231+F221+F210+F199+F187+F177+F154+F144+F122+F112+F102+F91+F80+F70+F60+F50+F40+F30+F20+F132+F338+F167</f>
        <v>7478.08</v>
      </c>
      <c r="G348" s="105">
        <f>G327+G316+G305+G294+G283+G272+G259+G248+G241+G231+G221+G210+G199+G187+G177+G154+G144+G122+G112+G102+G91+G80+G70+G60+G50+G40+G30+G20+G132+G338+G167+0.5</f>
        <v>8544.98</v>
      </c>
      <c r="H348" s="109"/>
      <c r="J348" s="57"/>
      <c r="K348" s="57"/>
      <c r="L348" s="58"/>
      <c r="IJ348" s="3"/>
      <c r="IK348" s="3"/>
      <c r="IL348" s="3"/>
      <c r="IM348" s="3"/>
      <c r="IN348" s="3"/>
    </row>
    <row r="349" spans="1:12" ht="16.5" customHeight="1">
      <c r="A349" s="110"/>
      <c r="B349" s="111" t="s">
        <v>91</v>
      </c>
      <c r="C349" s="112">
        <f>(C342+C343+C344+C347+C348+C346+C345)</f>
        <v>300177.05000000005</v>
      </c>
      <c r="D349" s="112">
        <f>(D342+D343+D344+D347+D348+D346+D345)</f>
        <v>59395</v>
      </c>
      <c r="E349" s="112">
        <f>(E342+E343+E344+E347+E348+E346+E345)</f>
        <v>33101.3</v>
      </c>
      <c r="F349" s="112">
        <f>(F342+F343+F344+F347+F348+F346+F345)</f>
        <v>104275.2</v>
      </c>
      <c r="G349" s="112">
        <f>(G342+G343+G344+G347+G348+G346+G345)</f>
        <v>103406.2</v>
      </c>
      <c r="K349" s="113"/>
      <c r="L349" s="113"/>
    </row>
    <row r="350" spans="1:12" ht="16.5" customHeight="1">
      <c r="A350" s="114"/>
      <c r="B350" s="115"/>
      <c r="C350" s="116"/>
      <c r="D350" s="116"/>
      <c r="E350" s="116"/>
      <c r="F350" s="116"/>
      <c r="G350" s="116"/>
      <c r="K350" s="113"/>
      <c r="L350" s="113"/>
    </row>
    <row r="351" spans="1:255" s="18" customFormat="1" ht="14.25">
      <c r="A351" s="117"/>
      <c r="B351" s="118" t="s">
        <v>93</v>
      </c>
      <c r="C351" s="117"/>
      <c r="D351" s="117"/>
      <c r="E351" s="117"/>
      <c r="F351" s="117"/>
      <c r="G351" s="117"/>
      <c r="J351" s="19"/>
      <c r="K351" s="22"/>
      <c r="L351" s="22"/>
      <c r="IJ351" s="20"/>
      <c r="IK351" s="20"/>
      <c r="IL351" s="20"/>
      <c r="IM351" s="20"/>
      <c r="IN351" s="20"/>
      <c r="IO351" s="20"/>
      <c r="IP351" s="20"/>
      <c r="IQ351" s="20"/>
      <c r="IR351" s="20"/>
      <c r="IS351" s="20"/>
      <c r="IT351" s="20"/>
      <c r="IU351" s="20"/>
    </row>
    <row r="352" spans="1:255" s="18" customFormat="1" ht="15.75" customHeight="1">
      <c r="A352" s="117"/>
      <c r="B352" s="118" t="s">
        <v>94</v>
      </c>
      <c r="C352" s="117"/>
      <c r="D352" s="117"/>
      <c r="E352" s="117"/>
      <c r="F352" s="117"/>
      <c r="G352" s="117"/>
      <c r="J352" s="19"/>
      <c r="K352" s="22"/>
      <c r="L352" s="22"/>
      <c r="IJ352" s="20"/>
      <c r="IK352" s="20"/>
      <c r="IL352" s="20"/>
      <c r="IM352" s="20"/>
      <c r="IN352" s="20"/>
      <c r="IO352" s="20"/>
      <c r="IP352" s="20"/>
      <c r="IQ352" s="20"/>
      <c r="IR352" s="20"/>
      <c r="IS352" s="20"/>
      <c r="IT352" s="20"/>
      <c r="IU352" s="20"/>
    </row>
  </sheetData>
  <sheetProtection selectLockedCells="1" selectUnlockedCells="1"/>
  <mergeCells count="87">
    <mergeCell ref="B1:C1"/>
    <mergeCell ref="I329:I330"/>
    <mergeCell ref="J329:J330"/>
    <mergeCell ref="K329:K330"/>
    <mergeCell ref="L329:L330"/>
    <mergeCell ref="M329:M330"/>
    <mergeCell ref="A339:B339"/>
    <mergeCell ref="I307:I308"/>
    <mergeCell ref="J307:J308"/>
    <mergeCell ref="K307:K308"/>
    <mergeCell ref="L307:L308"/>
    <mergeCell ref="M307:M308"/>
    <mergeCell ref="I318:I319"/>
    <mergeCell ref="J318:J319"/>
    <mergeCell ref="K318:K319"/>
    <mergeCell ref="L318:L319"/>
    <mergeCell ref="M318:M319"/>
    <mergeCell ref="I285:I286"/>
    <mergeCell ref="J285:J286"/>
    <mergeCell ref="K285:K286"/>
    <mergeCell ref="L285:L286"/>
    <mergeCell ref="M285:M286"/>
    <mergeCell ref="I296:I297"/>
    <mergeCell ref="J296:J297"/>
    <mergeCell ref="K296:K297"/>
    <mergeCell ref="L296:L297"/>
    <mergeCell ref="M296:M297"/>
    <mergeCell ref="M263:M264"/>
    <mergeCell ref="I274:I275"/>
    <mergeCell ref="J274:J275"/>
    <mergeCell ref="K274:K275"/>
    <mergeCell ref="L274:L275"/>
    <mergeCell ref="M274:M275"/>
    <mergeCell ref="A260:B260"/>
    <mergeCell ref="A261:C261"/>
    <mergeCell ref="I263:I264"/>
    <mergeCell ref="J263:J264"/>
    <mergeCell ref="K263:K264"/>
    <mergeCell ref="L263:L264"/>
    <mergeCell ref="B202:B204"/>
    <mergeCell ref="B213:B215"/>
    <mergeCell ref="B223:B225"/>
    <mergeCell ref="B233:B235"/>
    <mergeCell ref="A242:B242"/>
    <mergeCell ref="A243:C243"/>
    <mergeCell ref="L158:L159"/>
    <mergeCell ref="M158:M159"/>
    <mergeCell ref="B169:B171"/>
    <mergeCell ref="A188:B188"/>
    <mergeCell ref="A189:C189"/>
    <mergeCell ref="B191:B195"/>
    <mergeCell ref="B146:B148"/>
    <mergeCell ref="A155:B155"/>
    <mergeCell ref="A156:C156"/>
    <mergeCell ref="I158:I159"/>
    <mergeCell ref="J158:J159"/>
    <mergeCell ref="K158:K159"/>
    <mergeCell ref="B104:B107"/>
    <mergeCell ref="B114:B117"/>
    <mergeCell ref="B124:B126"/>
    <mergeCell ref="A133:B133"/>
    <mergeCell ref="A134:C134"/>
    <mergeCell ref="B136:B138"/>
    <mergeCell ref="B93:B95"/>
    <mergeCell ref="I93:I94"/>
    <mergeCell ref="J93:J94"/>
    <mergeCell ref="K93:K94"/>
    <mergeCell ref="L93:L94"/>
    <mergeCell ref="M93:M94"/>
    <mergeCell ref="B82:B84"/>
    <mergeCell ref="I82:I83"/>
    <mergeCell ref="J82:J83"/>
    <mergeCell ref="K82:K83"/>
    <mergeCell ref="L82:L83"/>
    <mergeCell ref="M82:M83"/>
    <mergeCell ref="B22:B24"/>
    <mergeCell ref="B32:B35"/>
    <mergeCell ref="B42:B44"/>
    <mergeCell ref="B52:B54"/>
    <mergeCell ref="B62:B64"/>
    <mergeCell ref="B72:B74"/>
    <mergeCell ref="A3:B3"/>
    <mergeCell ref="A4:C4"/>
    <mergeCell ref="A5:B5"/>
    <mergeCell ref="A7:C7"/>
    <mergeCell ref="A10:C10"/>
    <mergeCell ref="B12:B14"/>
  </mergeCells>
  <printOptions/>
  <pageMargins left="0.5118055555555555" right="0.39375" top="0.25972222222222224" bottom="0.25" header="0.5118055555555555" footer="0.5118055555555555"/>
  <pageSetup fitToHeight="15" fitToWidth="1" horizontalDpi="600" verticalDpi="600" orientation="portrait" paperSize="9" scale="88" r:id="rId1"/>
  <rowBreaks count="1" manualBreakCount="1">
    <brk id="26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 seppd1</dc:creator>
  <cp:keywords/>
  <dc:description/>
  <cp:lastModifiedBy>utilizator seppd1</cp:lastModifiedBy>
  <cp:lastPrinted>2022-02-07T12:03:34Z</cp:lastPrinted>
  <dcterms:created xsi:type="dcterms:W3CDTF">2022-02-07T11:58:20Z</dcterms:created>
  <dcterms:modified xsi:type="dcterms:W3CDTF">2022-02-07T12:07:07Z</dcterms:modified>
  <cp:category/>
  <cp:version/>
  <cp:contentType/>
  <cp:contentStatus/>
</cp:coreProperties>
</file>